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2026\Documents\שיווק\אתר אינטרנט\"/>
    </mc:Choice>
  </mc:AlternateContent>
  <xr:revisionPtr revIDLastSave="0" documentId="8_{D858B67C-58EE-44BD-9BF7-415DEA98B00F}" xr6:coauthVersionLast="47" xr6:coauthVersionMax="47" xr10:uidLastSave="{00000000-0000-0000-0000-000000000000}"/>
  <workbookProtection workbookAlgorithmName="SHA-512" workbookHashValue="KdXXN+8rhWqohk/oTpVJggtiRQ9YWv5ePNxufPBLfyqfjQ8Y7ZiBeIyEGbqFbyHntda2/kHCETo//LqCdfEj+g==" workbookSaltValue="QmrxT5vNvxmrHxl/dRWehA==" workbookSpinCount="100000" lockStructure="1"/>
  <bookViews>
    <workbookView xWindow="-108" yWindow="-108" windowWidth="23256" windowHeight="13896" tabRatio="500" firstSheet="1" activeTab="2" xr2:uid="{00000000-000D-0000-FFFF-FFFF00000000}"/>
  </bookViews>
  <sheets>
    <sheet name="תמצית עסקה" sheetId="1" r:id="rId1"/>
    <sheet name="הנחות עסקה" sheetId="2" r:id="rId2"/>
    <sheet name="מודל כלכלי" sheetId="3" r:id="rId3"/>
    <sheet name="חישובים" sheetId="4" r:id="rId4"/>
    <sheet name="היוון" sheetId="5" r:id="rId5"/>
    <sheet name="תזרים ו-IRR" sheetId="6" r:id="rId6"/>
    <sheet name="רגישות ותרחישים" sheetId="7" r:id="rId7"/>
  </sheets>
  <calcPr calcId="191029" iterateDelta="1E-4"/>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41" i="4" l="1"/>
  <c r="G40" i="4"/>
  <c r="F40" i="4"/>
  <c r="D40" i="4"/>
  <c r="C40" i="4"/>
  <c r="G39" i="4"/>
  <c r="F39" i="4"/>
  <c r="D39" i="4"/>
  <c r="C39" i="4"/>
  <c r="G38" i="4"/>
  <c r="F38" i="4"/>
  <c r="D38" i="4"/>
  <c r="C38" i="4"/>
  <c r="G37" i="4"/>
  <c r="F37" i="4"/>
  <c r="D37" i="4"/>
  <c r="C37" i="4"/>
  <c r="D22" i="4"/>
  <c r="D7" i="4"/>
  <c r="D17" i="4" s="1"/>
  <c r="C70" i="3"/>
  <c r="C68" i="3"/>
  <c r="C66" i="3"/>
  <c r="C39" i="3"/>
  <c r="C40" i="3" s="1"/>
  <c r="C38" i="3"/>
  <c r="C36" i="3"/>
  <c r="C37" i="3" s="1"/>
  <c r="C35" i="3"/>
  <c r="C33" i="3"/>
  <c r="C29" i="3"/>
  <c r="C28" i="3"/>
  <c r="C27" i="3"/>
  <c r="C59" i="3" s="1"/>
  <c r="C26" i="3"/>
  <c r="C25" i="3"/>
  <c r="C24" i="3"/>
  <c r="D25" i="4" s="1"/>
  <c r="C23" i="3"/>
  <c r="C54" i="3" s="1"/>
  <c r="C22" i="3"/>
  <c r="C21" i="3"/>
  <c r="C20" i="3"/>
  <c r="C23" i="5" s="1"/>
  <c r="C19" i="3"/>
  <c r="C18" i="3"/>
  <c r="C17" i="3"/>
  <c r="C16" i="3"/>
  <c r="C15" i="3"/>
  <c r="C14" i="3"/>
  <c r="C10" i="3"/>
  <c r="C9" i="3"/>
  <c r="C8" i="3"/>
  <c r="C7" i="3"/>
  <c r="C6" i="3"/>
  <c r="C5" i="3"/>
  <c r="B2" i="3"/>
  <c r="D70" i="2"/>
  <c r="C25" i="2"/>
  <c r="C13" i="3" s="1"/>
  <c r="F8" i="1"/>
  <c r="C8" i="1"/>
  <c r="F7" i="1"/>
  <c r="C7" i="1"/>
  <c r="B2" i="1"/>
  <c r="B1" i="1"/>
  <c r="D18" i="4" l="1"/>
  <c r="C32" i="3"/>
  <c r="C41" i="3" s="1"/>
  <c r="C60" i="3"/>
  <c r="D30" i="4"/>
  <c r="C72" i="3" s="1"/>
  <c r="C9" i="6"/>
  <c r="D4" i="5"/>
  <c r="D77" i="2"/>
  <c r="D78" i="2" s="1"/>
  <c r="D79" i="2" s="1"/>
  <c r="D80" i="2" s="1"/>
  <c r="D73" i="2"/>
  <c r="C9" i="1"/>
  <c r="C34" i="3"/>
  <c r="C44" i="3"/>
  <c r="C53" i="3"/>
  <c r="C17" i="5" l="1"/>
  <c r="D17" i="5"/>
  <c r="E17" i="5"/>
  <c r="F17" i="5"/>
  <c r="D13" i="6"/>
  <c r="D18" i="6"/>
  <c r="D14" i="6"/>
  <c r="D15" i="6"/>
  <c r="D16" i="6"/>
  <c r="D17" i="6"/>
  <c r="D19" i="6"/>
  <c r="D20" i="6"/>
  <c r="D21" i="6"/>
  <c r="E21" i="6"/>
  <c r="D22" i="6"/>
  <c r="E22" i="6"/>
  <c r="D23" i="6"/>
  <c r="E23" i="6"/>
  <c r="D24" i="6"/>
  <c r="E24" i="6"/>
  <c r="D25" i="6"/>
  <c r="E25" i="6"/>
  <c r="D26" i="6"/>
  <c r="E26" i="6"/>
  <c r="D27" i="6"/>
  <c r="E27" i="6"/>
  <c r="C13" i="6"/>
  <c r="C14" i="6"/>
  <c r="C15" i="6"/>
  <c r="C16" i="6"/>
  <c r="C19" i="6"/>
  <c r="C20" i="6"/>
  <c r="C21" i="6"/>
  <c r="C22" i="6"/>
  <c r="C23" i="6"/>
  <c r="C24" i="6"/>
  <c r="C25" i="6"/>
  <c r="C26" i="6"/>
  <c r="C27" i="6"/>
  <c r="C28" i="6"/>
  <c r="C29" i="6"/>
  <c r="C30" i="6"/>
  <c r="C31" i="6"/>
  <c r="C12" i="6"/>
  <c r="C17" i="6"/>
  <c r="C18" i="6"/>
  <c r="D81" i="2"/>
  <c r="D82" i="2" s="1"/>
  <c r="D84" i="2"/>
  <c r="D74" i="2"/>
  <c r="D7" i="5"/>
  <c r="C45" i="3"/>
  <c r="C46" i="3"/>
  <c r="C47" i="7"/>
  <c r="D47" i="7"/>
  <c r="E47" i="7"/>
  <c r="F47" i="7"/>
  <c r="G47" i="7"/>
  <c r="H47" i="7"/>
  <c r="I47" i="7"/>
  <c r="D85" i="2" l="1"/>
  <c r="D86" i="2" s="1"/>
  <c r="D87" i="2" s="1"/>
  <c r="D83" i="2"/>
  <c r="D6" i="5"/>
  <c r="C24" i="5" s="1"/>
  <c r="D5" i="5"/>
  <c r="C8" i="5"/>
  <c r="E15" i="5"/>
  <c r="F15" i="5"/>
  <c r="C25" i="5"/>
  <c r="C76" i="3"/>
  <c r="E12" i="6"/>
  <c r="F9" i="1"/>
  <c r="H18" i="1"/>
  <c r="E27" i="7"/>
  <c r="G33" i="7"/>
  <c r="E33" i="7"/>
  <c r="C33" i="7"/>
  <c r="F32" i="7"/>
  <c r="D32" i="7"/>
  <c r="G31" i="7"/>
  <c r="E31" i="7"/>
  <c r="C31" i="7"/>
  <c r="G30" i="7"/>
  <c r="F30" i="7"/>
  <c r="E30" i="7"/>
  <c r="D30" i="7"/>
  <c r="G29" i="7"/>
  <c r="D29" i="7"/>
  <c r="G28" i="7"/>
  <c r="E28" i="7"/>
  <c r="C28" i="7"/>
  <c r="G27" i="7"/>
  <c r="C27" i="7"/>
  <c r="F33" i="7"/>
  <c r="D33" i="7"/>
  <c r="G32" i="7"/>
  <c r="E32" i="7"/>
  <c r="C32" i="7"/>
  <c r="F31" i="7"/>
  <c r="D31" i="7"/>
  <c r="C30" i="7"/>
  <c r="F29" i="7"/>
  <c r="E29" i="7"/>
  <c r="C29" i="7"/>
  <c r="F28" i="7"/>
  <c r="D28" i="7"/>
  <c r="F27" i="7"/>
  <c r="D27" i="7"/>
  <c r="C47" i="3"/>
  <c r="C48" i="3"/>
  <c r="C50" i="3"/>
  <c r="E37" i="4"/>
  <c r="E38" i="4"/>
  <c r="H38" i="4" s="1"/>
  <c r="E39" i="4"/>
  <c r="H39" i="4" s="1"/>
  <c r="E40" i="4"/>
  <c r="H40" i="4" s="1"/>
  <c r="C15" i="5" l="1"/>
  <c r="C19" i="5" s="1"/>
  <c r="D15" i="5"/>
  <c r="D19" i="5" s="1"/>
  <c r="E18" i="5"/>
  <c r="E19" i="5"/>
  <c r="F18" i="5"/>
  <c r="F19" i="5"/>
  <c r="D28" i="1"/>
  <c r="E28" i="1"/>
  <c r="E13" i="6"/>
  <c r="H42" i="7"/>
  <c r="D42" i="7"/>
  <c r="G42" i="7"/>
  <c r="H12" i="7"/>
  <c r="J42" i="7"/>
  <c r="F10" i="7"/>
  <c r="J10" i="7"/>
  <c r="E11" i="7"/>
  <c r="H11" i="7"/>
  <c r="D12" i="7"/>
  <c r="I12" i="7"/>
  <c r="E13" i="7"/>
  <c r="H13" i="7"/>
  <c r="D14" i="7"/>
  <c r="H14" i="7"/>
  <c r="J14" i="7"/>
  <c r="E18" i="7"/>
  <c r="G18" i="7"/>
  <c r="I18" i="7"/>
  <c r="C19" i="7"/>
  <c r="F20" i="7"/>
  <c r="G20" i="7"/>
  <c r="H20" i="7"/>
  <c r="I20" i="7"/>
  <c r="J20" i="7"/>
  <c r="C21" i="7"/>
  <c r="C10" i="7"/>
  <c r="G10" i="7"/>
  <c r="I10" i="7"/>
  <c r="C42" i="7"/>
  <c r="E10" i="7"/>
  <c r="C13" i="7"/>
  <c r="F18" i="7"/>
  <c r="G19" i="7"/>
  <c r="C20" i="7"/>
  <c r="J41" i="7"/>
  <c r="G11" i="7"/>
  <c r="C12" i="7"/>
  <c r="G12" i="7"/>
  <c r="D22" i="7"/>
  <c r="F22" i="7"/>
  <c r="H22" i="7"/>
  <c r="J22" i="7"/>
  <c r="D38" i="7"/>
  <c r="F38" i="7"/>
  <c r="H38" i="7"/>
  <c r="J38" i="7"/>
  <c r="D39" i="7"/>
  <c r="E39" i="7"/>
  <c r="F39" i="7"/>
  <c r="G39" i="7"/>
  <c r="H39" i="7"/>
  <c r="I39" i="7"/>
  <c r="J39" i="7"/>
  <c r="E16" i="6"/>
  <c r="E14" i="6"/>
  <c r="E15" i="6"/>
  <c r="F42" i="7"/>
  <c r="I42" i="7"/>
  <c r="H10" i="7"/>
  <c r="J11" i="7"/>
  <c r="G13" i="7"/>
  <c r="C18" i="7"/>
  <c r="H18" i="7"/>
  <c r="E19" i="7"/>
  <c r="I19" i="7"/>
  <c r="D20" i="7"/>
  <c r="E42" i="7"/>
  <c r="D11" i="7"/>
  <c r="J13" i="7"/>
  <c r="C38" i="7"/>
  <c r="E38" i="7"/>
  <c r="G38" i="7"/>
  <c r="I38" i="7"/>
  <c r="C39" i="7"/>
  <c r="C40" i="7"/>
  <c r="D40" i="7"/>
  <c r="E40" i="7"/>
  <c r="F40" i="7"/>
  <c r="C55" i="3"/>
  <c r="E20" i="6"/>
  <c r="E19" i="6"/>
  <c r="E18" i="6"/>
  <c r="E17" i="6"/>
  <c r="G40" i="7"/>
  <c r="J40" i="7"/>
  <c r="C41" i="7"/>
  <c r="F41" i="7"/>
  <c r="G41" i="7"/>
  <c r="I40" i="7"/>
  <c r="E41" i="7"/>
  <c r="H41" i="7"/>
  <c r="C65" i="3"/>
  <c r="H40" i="7"/>
  <c r="D41" i="7"/>
  <c r="I41" i="7"/>
  <c r="H37" i="4"/>
  <c r="H41" i="4" s="1"/>
  <c r="D43" i="4" s="1"/>
  <c r="E41" i="4"/>
  <c r="D42" i="4" s="1"/>
  <c r="E25" i="1" l="1"/>
  <c r="D25" i="1"/>
  <c r="E29" i="6"/>
  <c r="C20" i="5"/>
  <c r="C56" i="3"/>
  <c r="D10" i="7"/>
  <c r="F11" i="7"/>
  <c r="F14" i="7"/>
  <c r="D19" i="7"/>
  <c r="J19" i="7"/>
  <c r="F12" i="7"/>
  <c r="D18" i="7"/>
  <c r="F19" i="7"/>
  <c r="D13" i="7"/>
  <c r="C14" i="7"/>
  <c r="G14" i="7"/>
  <c r="D21" i="7"/>
  <c r="F21" i="7"/>
  <c r="H21" i="7"/>
  <c r="J21" i="7"/>
  <c r="J18" i="7"/>
  <c r="H19" i="7"/>
  <c r="E20" i="7"/>
  <c r="C11" i="7"/>
  <c r="I11" i="7"/>
  <c r="E12" i="7"/>
  <c r="J12" i="7"/>
  <c r="F13" i="7"/>
  <c r="I13" i="7"/>
  <c r="E14" i="7"/>
  <c r="I14" i="7"/>
  <c r="E21" i="7"/>
  <c r="G21" i="7"/>
  <c r="I21" i="7"/>
  <c r="C22" i="7"/>
  <c r="E22" i="7"/>
  <c r="G22" i="7"/>
  <c r="I22" i="7"/>
  <c r="C27" i="5" l="1"/>
  <c r="C28" i="5" s="1"/>
  <c r="C61" i="3" s="1"/>
  <c r="C62" i="3" s="1"/>
  <c r="E27" i="1"/>
  <c r="D27" i="1"/>
  <c r="C67" i="3" l="1"/>
  <c r="C71" i="3" s="1"/>
  <c r="C29" i="1" s="1"/>
  <c r="C69" i="3"/>
  <c r="E28" i="6"/>
  <c r="C24" i="1"/>
  <c r="D24" i="1"/>
  <c r="E24" i="1"/>
  <c r="C25" i="1"/>
  <c r="C26" i="1"/>
  <c r="C27" i="1"/>
  <c r="C28" i="1"/>
  <c r="C73" i="3"/>
  <c r="C77" i="3"/>
  <c r="E26" i="1" l="1"/>
  <c r="D26" i="1"/>
  <c r="E30" i="6"/>
  <c r="E31" i="6"/>
  <c r="C33" i="6" s="1"/>
  <c r="C80" i="3" s="1"/>
  <c r="D29" i="1"/>
  <c r="E29" i="1"/>
  <c r="C78" i="3"/>
  <c r="C79" i="3"/>
  <c r="D18" i="1" s="1"/>
  <c r="B18" i="1"/>
  <c r="D30" i="1"/>
  <c r="E30" i="1"/>
  <c r="F18" i="1" l="1"/>
  <c r="B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27" authorId="0" shapeId="0" xr:uid="{00000000-0006-0000-0100-000001000000}">
      <text>
        <r>
          <rPr>
            <sz val="10"/>
            <rFont val="Arial"/>
            <family val="2"/>
          </rPr>
          <t xml:space="preserve">LTV </t>
        </r>
        <r>
          <rPr>
            <sz val="10"/>
            <rFont val="FreeSans"/>
            <family val="2"/>
          </rPr>
          <t xml:space="preserve">מעל </t>
        </r>
        <r>
          <rPr>
            <sz val="10"/>
            <rFont val="Arial"/>
            <family val="2"/>
          </rPr>
          <t>50% ללא פטור ממס רכישה כדירה יחידה עלול ליצור בעיית מינוף/מיסוי.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73" authorId="0" shapeId="0" xr:uid="{00000000-0006-0000-0200-000001000000}">
      <text>
        <r>
          <rPr>
            <sz val="10"/>
            <rFont val="FreeSans"/>
            <family val="2"/>
          </rPr>
          <t>נוסחה</t>
        </r>
        <r>
          <rPr>
            <sz val="10"/>
            <rFont val="Arial"/>
            <family val="2"/>
          </rPr>
          <t xml:space="preserve">: -MAX(0, </t>
        </r>
        <r>
          <rPr>
            <sz val="10"/>
            <rFont val="FreeSans"/>
            <family val="2"/>
          </rPr>
          <t>מחיר מכירה - תקרת פטור</t>
        </r>
        <r>
          <rPr>
            <sz val="10"/>
            <rFont val="Arial"/>
            <family val="2"/>
          </rPr>
          <t>) * 25%. הערכה גסה בלבד - יש לקבל חישוב מדויק מרו"ח/עו"ד מיסוי מקרקעין לפני מכירה בפועל.</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D28" authorId="0" shapeId="0" xr:uid="{00000000-0006-0000-0300-000001000000}">
      <text>
        <r>
          <rPr>
            <sz val="10"/>
            <rFont val="FreeSans"/>
            <family val="2"/>
          </rPr>
          <t xml:space="preserve">מקור: סעיף </t>
        </r>
        <r>
          <rPr>
            <sz val="10"/>
            <rFont val="Arial"/>
            <family val="2"/>
          </rPr>
          <t>49</t>
        </r>
        <r>
          <rPr>
            <sz val="10"/>
            <rFont val="FreeSans"/>
            <family val="2"/>
          </rPr>
          <t>א(א</t>
        </r>
        <r>
          <rPr>
            <sz val="10"/>
            <rFont val="Arial"/>
            <family val="2"/>
          </rPr>
          <t>1) לחוק מיסוי מקרקעין. התקרה מתעדכנת שנתית.</t>
        </r>
      </text>
    </comment>
  </commentList>
</comments>
</file>

<file path=xl/sharedStrings.xml><?xml version="1.0" encoding="utf-8"?>
<sst xmlns="http://schemas.openxmlformats.org/spreadsheetml/2006/main" count="350" uniqueCount="319">
  <si>
    <t>ניווט מהיר:</t>
  </si>
  <si>
    <t>→ הנחות עסקה</t>
  </si>
  <si>
    <t>→ מודל כלכלי</t>
  </si>
  <si>
    <t>→ חישובים</t>
  </si>
  <si>
    <t>→ היוון</t>
  </si>
  <si>
    <t>→ תזרים ו-IRR</t>
  </si>
  <si>
    <t>→ רגישות</t>
  </si>
  <si>
    <t>פרטי הנכס והעסקה</t>
  </si>
  <si>
    <t>כתובת:</t>
  </si>
  <si>
    <t>תרחיש מרכזי:</t>
  </si>
  <si>
    <t>יזם:</t>
  </si>
  <si>
    <t>זמן החזקה משוער:</t>
  </si>
  <si>
    <t>שווי רכישה:</t>
  </si>
  <si>
    <t>הון עצמי נדרש:</t>
  </si>
  <si>
    <t>תקציר</t>
  </si>
  <si>
    <t>תוצאות מרכזיות (תרחיש מרכזי)</t>
  </si>
  <si>
    <t>רווח כולל</t>
  </si>
  <si>
    <t>תשואה שנתית (CAGR)</t>
  </si>
  <si>
    <t>תשואה שנתית (IRR)</t>
  </si>
  <si>
    <t>הון עצמי נדרש</t>
  </si>
  <si>
    <t>לכל תקופת ההחזקה</t>
  </si>
  <si>
    <t>שיטה פשוטה, ללא עיתוי תזרימים</t>
  </si>
  <si>
    <t>כולל עיתוי מדויק ועליית שכ"ד</t>
  </si>
  <si>
    <t>כולל הוצאות רכישה</t>
  </si>
  <si>
    <t>מבנה הרווח (מפל)</t>
  </si>
  <si>
    <t>כל עמודה מייצגת רכיב אחד מנוסחת הרווח הכולל, לפי סדר הצטברות; העמודה האחרונה היא סך הרווח הנקי.</t>
  </si>
  <si>
    <t>שלב</t>
  </si>
  <si>
    <t>בסיס (נסתר)</t>
  </si>
  <si>
    <t>עלייה</t>
  </si>
  <si>
    <t>ירידה</t>
  </si>
  <si>
    <t>מחיר מכירה</t>
  </si>
  <si>
    <t>סילוק משכנתא</t>
  </si>
  <si>
    <t>הוצאות מכירה</t>
  </si>
  <si>
    <t>תזרים שוטף מצטבר</t>
  </si>
  <si>
    <t>הון עצמי ברכישה</t>
  </si>
  <si>
    <t>מס שבח</t>
  </si>
  <si>
    <t>רווח נטו</t>
  </si>
  <si>
    <t>רגישות התשואה לזמן ההחזקה</t>
  </si>
  <si>
    <t>לפי הנחת עליית הערך הבסיסית שהוגדרה בגיליון ההנחות (טור זה נשלף מטבלה 1 בגיליון "רגישות ותרחישים").</t>
  </si>
  <si>
    <t>© כל הזכויות שמורות לעו״ד שלו לביא. אין להעתיק, לשכפל, להפיץ, לפרסם או לעשות כל שימוש אחר במידע המופיע במסמך זה, כולו או חלקו, ללא קבלת אישור מראש ובכתב.
המידע במסמך זה נמסר למטרות מידע כללי בלבד ואינו מהווה ייעוץ משפטי, מיסויי או השקעה. תחזיות ואחוזי תשואה מבוססים על הערכות בלבד ואינם מהווים הבטחה לתשואה בפועל.</t>
  </si>
  <si>
    <t>הנחות עסקה – תבנית כללית</t>
  </si>
  <si>
    <t>← תמצית עסקה</t>
  </si>
  <si>
    <t>צהוב בוהק = נתון קריטי שממלאים בכל עסקה חדשה. צהוב רגיל = ניתן לעריכה אך בד"כ לא נוגעים בו. שאר הגיליונות בקובץ (מודל כלכלי, חישובים, היוון, תזרים ו-IRR, רגישות) מחושבים אוטומטית מהנתונים כאן - אין צורך לערוך אותם ישירות.</t>
  </si>
  <si>
    <t>א. פרטי הנכס והעסקה</t>
  </si>
  <si>
    <t>כצנלסון, גבעתיים</t>
  </si>
  <si>
    <t>מספר בניין:</t>
  </si>
  <si>
    <t>יש להשלים מידע</t>
  </si>
  <si>
    <t>היזם:</t>
  </si>
  <si>
    <t>יזם מוביל מהחברות הגדולות במשק</t>
  </si>
  <si>
    <t>עו"ד דיירים:</t>
  </si>
  <si>
    <t>משרד עו"ד</t>
  </si>
  <si>
    <t>מתווך רכישה:</t>
  </si>
  <si>
    <t>[להזין מתווך, ככל שרלוונטי]</t>
  </si>
  <si>
    <t>סטטוס:</t>
  </si>
  <si>
    <t>חתום פינוי בינוי לאחר רוב נדרש. תב"ע בשלבי עבודה (מעגל ראשון תמ"א 70 + מדיניות עירונית תואמת).</t>
  </si>
  <si>
    <t>השלב הבא:</t>
  </si>
  <si>
    <t>[להזין את השלב הבא בעסקה]</t>
  </si>
  <si>
    <t>רישום ומדידה (משלים - אינו משפיע על החישוב; להשלמה בהתקדמות העסקה)</t>
  </si>
  <si>
    <t>גוש:</t>
  </si>
  <si>
    <t>חלקה:</t>
  </si>
  <si>
    <t>אופן רישום בטאבו:</t>
  </si>
  <si>
    <t>רישום תקין</t>
  </si>
  <si>
    <t>למשל: בית משותף רשום / בהליכי רישום / טרם נרשם</t>
  </si>
  <si>
    <t>שטח לפי ארנונה (מ"ר):</t>
  </si>
  <si>
    <t>שטח לפי נסח טאבו (מ"ר):</t>
  </si>
  <si>
    <t>שטח לפי היתר בנייה (מ"ר):</t>
  </si>
  <si>
    <t>שטח לפי מדידת היזם (מ"ר):</t>
  </si>
  <si>
    <t>ייתכנו פערים בין המקורות - השטח המשמש בפועל לחישוב הכלכלי מוזן בנפרד למטה ("שטח קיים")</t>
  </si>
  <si>
    <t>ב. מחיר ומימון</t>
  </si>
  <si>
    <t>מחיר מבוקש/משווק (מהמודעה, ₪):</t>
  </si>
  <si>
    <t>דוגמה בלבד – להזין את המחיר המבוקש כפי שפורסם</t>
  </si>
  <si>
    <t>הנחת מו"מ משוערת (₪):</t>
  </si>
  <si>
    <t>כלל אצבע: 100,000 ₪ לעסקאות 2-2.5 מ' ; 150,000 ₪ לעסקאות מעל 3.5 מ' ; אינטרפולציה ליניארית בין הטווחים. ניתן לדרוס ידנית בתא "מחיר רכישה" למטה בעסקה ספציפית.</t>
  </si>
  <si>
    <t>מחיר רכישה (לאחר מו"מ, לשימוש בחישוב, ₪):</t>
  </si>
  <si>
    <t>ניתן לדרוס בערך ידני אם ידוע מחיר סופי בפועל</t>
  </si>
  <si>
    <t>אחוז נרכש מהדירה:</t>
  </si>
  <si>
    <t>אחוז מימון בנקאי (LTV):</t>
  </si>
  <si>
    <t>ריבית משכנתא שנתית ממוצעת (משוקללת):</t>
  </si>
  <si>
    <t>תקופת משכנתא (שנים):</t>
  </si>
  <si>
    <t>תמהיל משכנתא (אופציונלי – לבדיקה מול הצעת בנק בפועל; ר' בדיקת התאמה בגיליון "חישובים")</t>
  </si>
  <si>
    <t>מסלול</t>
  </si>
  <si>
    <t>חלק (מתוך 900)</t>
  </si>
  <si>
    <t>שנים</t>
  </si>
  <si>
    <t>ריבית שנתית</t>
  </si>
  <si>
    <t>קבועה לא צמודה</t>
  </si>
  <si>
    <t>פריים</t>
  </si>
  <si>
    <t>משתנה לא צמודה</t>
  </si>
  <si>
    <t>משתנה צמודה</t>
  </si>
  <si>
    <t>ג. הכנסה שוטפת והוצאות אחזקה</t>
  </si>
  <si>
    <t>תשואת שכ"ד שנתית נוכחית (% משווי הדירה):</t>
  </si>
  <si>
    <t>קצב עליית שכ"ד שנתי (ברירת מחדל: עליית מדד בסיסית):</t>
  </si>
  <si>
    <t>בעבר לא הובאה בחשבון עליית שכר דירה לאורך התקופה</t>
  </si>
  <si>
    <t>הוצאות שוטפות חודשיות (ועד בית, ביטוח, תחזוקה שוטפת, ₪):</t>
  </si>
  <si>
    <t>הערכה ראשונית; יש לעדכן לפי נתוני הבניין בפועל</t>
  </si>
  <si>
    <t>ימי אכלוס ריק בממוצע בכל החלפת שוכר (₪ אבודים):</t>
  </si>
  <si>
    <t>ימי שכירות ממוצע שאובד בכל חילופי דיירים</t>
  </si>
  <si>
    <t>תדירות ממוצעת להחלפת שוכר (שנים):</t>
  </si>
  <si>
    <t>ד. שווי ותרחיש יציאה</t>
  </si>
  <si>
    <t>עליית ערך שנתית (הנחת שוק):</t>
  </si>
  <si>
    <t>ברירת מחדל קבועה: 4% - להשתמש בזה תמיד אלא אם נאמר אחרת במפורש עבור העסקה הספציפית</t>
  </si>
  <si>
    <t>זמן החזקה עד מכירה (שנים):</t>
  </si>
  <si>
    <t>דוגמה בלבד – להתאים להערכת לוח הזמנים של העסקה הספציפית</t>
  </si>
  <si>
    <t>תרחיש יציאה:</t>
  </si>
  <si>
    <t>פליפ</t>
  </si>
  <si>
    <t>פליפ = מכירת הזכויות לפני אכלוס | עד אכלוס = מכירת הדירה החדשה | אין פרויקט = תרחיש כשל יזמי</t>
  </si>
  <si>
    <t>מ"ר מצב נכנס (דירה קיימת):</t>
  </si>
  <si>
    <t>תוספת מ"ר לפי ההסכם (מלא):</t>
  </si>
  <si>
    <t>התוספת המלאה הקבועה בהסכם ההתחדשות העירונית - נתון תיעודי/משפטי</t>
  </si>
  <si>
    <t>תוספת מ"ר בשימוש לחישוב הכלכלי:</t>
  </si>
  <si>
    <t>ניתן להזין נמוך מהתוספת לפי ההסכם לצורך גישה שמרנית - זהו הנתון שמזין את החישוב</t>
  </si>
  <si>
    <t>שווי מ"ר עיקרי מצב יוצא (הערכת שמאי/יזם, ₪):</t>
  </si>
  <si>
    <t>ה. שיעורי עלויות עסקה</t>
  </si>
  <si>
    <t>שיעור מע"מ:</t>
  </si>
  <si>
    <t>שיעור עורך דין רכישה (מהשווי):</t>
  </si>
  <si>
    <t>שיעור תיווך / ליווי משקיעים ברכישה (כולל מע"מ):</t>
  </si>
  <si>
    <t>יועץ משכנתאות (₪, סכום קבוע):</t>
  </si>
  <si>
    <t>שמאות מוקדמת לבנק (₪, לפני מע"מ):</t>
  </si>
  <si>
    <t>שיפוץ (הערכה, ₪):</t>
  </si>
  <si>
    <t>שיעור עורך דין מכירה (מהתמורה):</t>
  </si>
  <si>
    <t>שיעור מתווך במכירה (מהתמורה):</t>
  </si>
  <si>
    <t>היטל השבחה (הערכה, ₪):</t>
  </si>
  <si>
    <t>בעסקאות התחדשות עירונית לרוב חל על היזם/במסגרת ההסכם - לוודא בהסכם הספציפי</t>
  </si>
  <si>
    <t>ו. מיסוי</t>
  </si>
  <si>
    <t>סוג הרכישה לצורך מס רכישה:</t>
  </si>
  <si>
    <t>דירה יחידה (פטורה במדרגה ראשונה)</t>
  </si>
  <si>
    <t>ז. עוגן זמן למודל ה-DCF (מבוסס על "זמן החזקה עד מכירה" שהוזן לעיל)</t>
  </si>
  <si>
    <t>משמש למחיר "פליפ" (גיליון היוון). לפי בקשתך, חישוב ה-DCF מבוסס על זמן ההחזקה שהזנת (לא על לוח הזמנים התכנוני המפורט למטה), עם מרווח ביטחון לעיכובים.</t>
  </si>
  <si>
    <t>תאריך רכישה משוער:</t>
  </si>
  <si>
    <t>ימים בחודש</t>
  </si>
  <si>
    <t>מרווח ביטחון לעיכובים (חודשים, ניהול סיכונים):</t>
  </si>
  <si>
    <t>נוסף מעבר לזמן ההחזקה - משקף חשיפה טיפוסית לעיכובי רגולציה/יזם</t>
  </si>
  <si>
    <t>חודשי "חוזה מוקדם" לפני מועד הייחוס (למקדמה 20%):</t>
  </si>
  <si>
    <t>מייצג מתי לוח תשלומים טיפוסי מול יזם היה נפתח, ביחס למועד המכירה/מסירה בפועל</t>
  </si>
  <si>
    <t>תאריך ייחוס למכירה (= רכישה + זמן החזקה + מרווח ביטחון):</t>
  </si>
  <si>
    <t>"תאריך חוזה מוקדם" (לתמחור תמורות מוקדמות ותחילת הצמדה למדד):</t>
  </si>
  <si>
    <t>לוח זמנים תכנוני מפורט (הערכה "מלמטה למעלה" למעקב אחר הפרויקט בפועל - אינו מזין את חישובי ה-DCF)</t>
  </si>
  <si>
    <t>צפי אישור תב"ע:</t>
  </si>
  <si>
    <t>≈ שנתיים ממועד הרכישה (הערכה לדוגמה - יש להתאים לסטטוס התכנוני בפועל)</t>
  </si>
  <si>
    <t>צפי אישור תוכנית עיצוב:</t>
  </si>
  <si>
    <t>≈ שנה וחצי</t>
  </si>
  <si>
    <t>מאישור עיצוב עד הגשת בקשה להיתר:</t>
  </si>
  <si>
    <t>≈ 6 חודשים</t>
  </si>
  <si>
    <t>מהגשת הבקשה עד דיון ועדת רישוי:</t>
  </si>
  <si>
    <t>≈ שנתיים</t>
  </si>
  <si>
    <t>מהוועדה עד תחילת שיווק:</t>
  </si>
  <si>
    <t>מתחילת שיווק ועד מכירת דירה ראשונה בפרויקט:</t>
  </si>
  <si>
    <t>לפני היתר מלא – תחילת ליווי בנקאי:</t>
  </si>
  <si>
    <t>≈ חודשיים</t>
  </si>
  <si>
    <t>מהוועדה ועד היתר בנייה מלא ופינוי (ליווי בנקאי ופינוי דיירים):</t>
  </si>
  <si>
    <t>≈ חצי שנה</t>
  </si>
  <si>
    <t>מהיתר מלא ועד תחילת ביצוע:</t>
  </si>
  <si>
    <t>≈ 3 חודשים</t>
  </si>
  <si>
    <t>משך ביצוע (חודשים):</t>
  </si>
  <si>
    <t>≈ 4 שנים</t>
  </si>
  <si>
    <t>בדיקת סבירות: זמן "מלמטה למעלה" עד אכלוס (שנים, ללוח התכנוני בלבד):</t>
  </si>
  <si>
    <t>להשוואה בלבד מול "זמן החזקה עד מכירה" - פער גדול מעיד שהלוח התכנוני "מלמטה למעלה" שמרני/אופטימי יותר מהנחת זמן ההחזקה</t>
  </si>
  <si>
    <t>סימולציה כלכלית – תבנית כללית להתחדשות עירונית</t>
  </si>
  <si>
    <t>מקרא:</t>
  </si>
  <si>
    <t>1. פרטי הנכס והעסקה</t>
  </si>
  <si>
    <t>■ צהוב בוהק = נתון קריטי למלא בכל עסקה</t>
  </si>
  <si>
    <t>■ תא צהוב = קלט הניתן לעריכה (בד"כ לא נוגעים)</t>
  </si>
  <si>
    <t>■ תא כחול = חישוב אוטומטי</t>
  </si>
  <si>
    <t>■ תא ירוק = קישור לגיליון אחר</t>
  </si>
  <si>
    <t>■ תא כחול כהה = תוצאת מפתח</t>
  </si>
  <si>
    <t>■ תא כתום = דורש זהירות משפטית/מיסויית</t>
  </si>
  <si>
    <t>לעריכת נתוני העסקה: גיליון "הנחות עסקה"</t>
  </si>
  <si>
    <t>2. הנחות יסוד לעסקה (ר' גיליון "הנחות עסקה" לעריכה)</t>
  </si>
  <si>
    <t>שווי דירה לרכישה (₪):</t>
  </si>
  <si>
    <t>ריבית משכנתא שנתית ממוצעת:</t>
  </si>
  <si>
    <t>תשואת שכ"ד שנתית נוכחית:</t>
  </si>
  <si>
    <t>קצב עליית שכ"ד שנתי:</t>
  </si>
  <si>
    <t>הוצאות שוטפות חודשיות (₪):</t>
  </si>
  <si>
    <t>ימי אכלוס ריק בהחלפת שוכר:</t>
  </si>
  <si>
    <t>תדירות החלפת שוכר (שנים):</t>
  </si>
  <si>
    <t>מ"ר מצב נכנס:</t>
  </si>
  <si>
    <t>תוספת מ"ר בהתחדשות עירונית:</t>
  </si>
  <si>
    <t>שווי מ"ר עיקרי מצב יוצא (₪):</t>
  </si>
  <si>
    <t>3. עלויות רכישה נלוות</t>
  </si>
  <si>
    <t>מס רכישה (לפי מדרגות, ר' גיליון "חישובים"):</t>
  </si>
  <si>
    <t>שיעור תיווך / ליווי משקיעים (כולל מע"מ):</t>
  </si>
  <si>
    <t>עלות תיווך / ליווי משקיעים (₪):</t>
  </si>
  <si>
    <t>יועץ משכנתאות (₪):</t>
  </si>
  <si>
    <t>עלות שמאות כולל מע"מ (₪):</t>
  </si>
  <si>
    <t>עלות עורך דין רכישה (₪):</t>
  </si>
  <si>
    <t>סה"כ הוצאות נלוות ברכישה (₪):</t>
  </si>
  <si>
    <t>4. הון עצמי ומימון</t>
  </si>
  <si>
    <t>הון עצמי לרכישת הדירה בלבד (₪):</t>
  </si>
  <si>
    <t>הון עצמי נדרש כולל הוצאות נלוות (₪):</t>
  </si>
  <si>
    <t>משכנתא לעסקה (₪):</t>
  </si>
  <si>
    <t>בדיקת עקביות (משכנתא ÷ LTV = שווי דירה):</t>
  </si>
  <si>
    <t>החזר משכנתא חודשי (שפיצר, ₪):</t>
  </si>
  <si>
    <t>החזר חודשי לכל מיליון ₪ משכנתא (יחס בנקאי טיפוסי):</t>
  </si>
  <si>
    <t>הכנסה נטו חודשית נדרשת למשפחה (הערכת סף 38% DTI):</t>
  </si>
  <si>
    <t>5. תזרים שוטף עד המכירה (השכרת הדירה הקיימת)</t>
  </si>
  <si>
    <t>הכנסת שכ"ד חודשית ברוטו – שנה 1 (₪):</t>
  </si>
  <si>
    <t>מקדם תפוסה ממוצע (לאחר חפיפה בין שוכרים):</t>
  </si>
  <si>
    <t>חדש - מבטא אובדן שכ"ד ממוצע בכל החלפת שוכר</t>
  </si>
  <si>
    <t>תזרים חודשי נטו ממוצע – שנה 1 (שכ"ד באפקטיביות התפוסה, בניכוי הוצאות שוטפות והחזר משכנתא, ₪):</t>
  </si>
  <si>
    <t>שלילי = הדירה 'עולה כסף' כל חודש עד המכירה; שכ"ד צפוי לעלות עם הזמן (ר' תזרים מפורט בגיליון תזרים ו-IRR)</t>
  </si>
  <si>
    <t>תזרים מצטבר עד המכירה, מהוון בריבית ההיוון (₪, לפי שנה 1 קבועה):</t>
  </si>
  <si>
    <t>קירוב פשוט לפי תזרים קבוע (ללא עליית שכ"ד) - לחישוב מדויק הכולל עליית שכ"ד ר' גיליון "תזרים ו-IRR"</t>
  </si>
  <si>
    <t>6. שווי הדירה החדשה ומחיר מכירה לפי תרחיש</t>
  </si>
  <si>
    <t>שווי הדירה החדשה במונחי היום ("מצב יוצא", ללא עליית ערך, ₪):</t>
  </si>
  <si>
    <t>שווי דירה/נכס בעת המכירה – תרחיש "עד אכלוס"/"אין פרויקט" (₪):</t>
  </si>
  <si>
    <t>בתרחיש "אין פרויקט" השווי מבוסס על עליית ערך רגילה של הדירה הישנה, לא על שווי הדירה החדשה</t>
  </si>
  <si>
    <t>שווי "פליפ" מהוון – מחיר מכירה ריאלי משוער (₪, ר' גיליון "היוון"):</t>
  </si>
  <si>
    <t>מחיר מכירה נבחר לפי תרחיש (₪, מעוגל ל-10,000 הקרובים):</t>
  </si>
  <si>
    <t>7. מיסוי ועלויות מכירה</t>
  </si>
  <si>
    <t>יתרת משכנתא לסילוק במועד המכירה (₪, שלילי):</t>
  </si>
  <si>
    <t>עלות עורך דין מכירה (₪, שלילי):</t>
  </si>
  <si>
    <t>עלות מתווך במכירה (₪, שלילי):</t>
  </si>
  <si>
    <t>היטל השבחה (הערכה, ₪, שלילי):</t>
  </si>
  <si>
    <t>סה"כ הוצאות מכירה (₪, שלילי):</t>
  </si>
  <si>
    <t>תקרת פטור ממס שבח משוערכת למועד המכירה (₪, ר' גיליון "חישובים"):</t>
  </si>
  <si>
    <t>מס שבח משוער – החלק שמעל תקרת הפטור (₪, שלילי אם חייב):</t>
  </si>
  <si>
    <t>הערכה כלכלית גסה בלבד (לא שומת מס)</t>
  </si>
  <si>
    <t>8. תוצאות – רווחיות ותשואה</t>
  </si>
  <si>
    <t>הון עצמי ברכישה (₪, שלילי, תזרים יציאה בזמן 0):</t>
  </si>
  <si>
    <t>רווח כולל לכל תקופת ההחזקה (₪):</t>
  </si>
  <si>
    <t>מורכב מ: מחיר מכירה + יתרת משכנתא (שלילי) + הוצאות מכירה (שלילי) + תזרים מצטבר + הון עצמי (שלילי) + מס שבח (שלילי אם חל)</t>
  </si>
  <si>
    <t>רווח כולל באחוזים על ההון העצמי (לכל התקופה):</t>
  </si>
  <si>
    <t>תשואה שנתית ממוצעת – CAGR (שיטת ריבית דריבית פשוטה, ללא עליית שכ"ד):</t>
  </si>
  <si>
    <t>מבוססת על סך הרווח מול ההון העצמי; אינה כוללת עליית שכ"ד/הוצאות שוטפות מפורטות. לחישוב מלא ר' IRR למטה</t>
  </si>
  <si>
    <t>תשואה שנתית לפי IRR על תזרים מזומנים מתוארך ומפורט (כולל עליית שכ"ד, ר' גיליון "תזרים ו-IRR"):</t>
  </si>
  <si>
    <t>הבהרה מתודולוגית: ה-CAGR לעיל מדד פשוט מבוסס על סך הרווח הכולל מול ההון העצמי, ואינו מביא בחשבון עליית שכ"ד לאורך זמן או שינויים בהוצאות השוטפות. ה-IRR (בגיליון הייעודי) מביא בחשבון את התאריכים המדויקים של כל תזרים בפועל, כולל עליית שכ"ד שנתית, ולכן מהווה מדד מדויק ואמין יותר. פער בין שני המדדים צפוי וטבעי ואינו מעיד על טעות.</t>
  </si>
  <si>
    <t>© כל הזכויות שמורות לעו״ד שלו לביא. אין להעתיק, לשכפל, להפיץ, לפרסם או לעשות כל שימוש אחר במידע המופיע במסמך זה, כולו או חלקו, ללא קבלת אישור מראש ובכתב.
המידע במסמך זה נמסר למטרות מידע כללי בלבד ואינו מהווה ייעוץ משפטי, מיסויי או השקעה. תחזיות ואחוזי תשואה, ככל שמופיעים, מבוססים על הערכות בלבד ואינם מהווים הבטחה לתשואה בפועל. אין לראות באמור התחייבות, מצג או אחריות לתוצאה כלשהי. כל השקעה נדל"נית כרוכה בסיכון, והאחריות לבחינה ולשיקול דעת עצמאי מוטלת על הקורא.</t>
  </si>
  <si>
    <t>חישובים – פרמטרים סטטוטוריים/כלליים וחישובי עזר</t>
  </si>
  <si>
    <t>הפרמטרים בגיליון זה הם ברירות מחדל סטטוטוריות/שיטתיות (מדרגות מס, שיעור היוון) שרלוונטיות לכל עסקה ולא רק לזו הספציפית - בניגוד לגיליון "הנחות עסקה" שמרכז את הנתונים הייחודיים לעסקה זו. גם כאן ניתן לערוך תאים צהובים במידת הצורך (למשל אם מדרגות המס התעדכנו).</t>
  </si>
  <si>
    <t>מס רכישה</t>
  </si>
  <si>
    <t>סוג הרכישה לצורך מס רכישה (מקושר מגיליון ההנחות):</t>
  </si>
  <si>
    <t>מדרגות מס רכישה – דירה יחידה (יש לוודא מול אתר רשות המסים מועד ביצוע העסקה בפועל, המדרגות מתעדכנות פעמיים בשנה)</t>
  </si>
  <si>
    <t>עד סכום (₪)</t>
  </si>
  <si>
    <t>שיעור המדרגה</t>
  </si>
  <si>
    <t>שיעור אחיד – דירה נוספת / משקיע:</t>
  </si>
  <si>
    <t>לוודא מדרגות עדכניות</t>
  </si>
  <si>
    <t>מס רכישה מחושב לעסקה (₪):</t>
  </si>
  <si>
    <t>נשלף אוטומטית לגיליון המודל הכלכלי</t>
  </si>
  <si>
    <t>שיעור אפקטיבי:</t>
  </si>
  <si>
    <t>הנחות היוון ותזרים</t>
  </si>
  <si>
    <t>שיעור היוון שנתי (לתזרים מהוון / DCF):</t>
  </si>
  <si>
    <t>שיעור היוון חודשי (מחושב):</t>
  </si>
  <si>
    <t>צפי מדד תשומות בנייה (שנתי):</t>
  </si>
  <si>
    <t>ימים בחודש (קבוע להיוון):</t>
  </si>
  <si>
    <t>עליית ערך שנתית (מקור: גיליון ההנחות):</t>
  </si>
  <si>
    <t>מדרגת פטור ממס שבח – "דירת יוקרה" (סעיף 49א(א1) לחוק מיסוי מקרקעין)</t>
  </si>
  <si>
    <t>תקרת פטור נוכחית (₪):</t>
  </si>
  <si>
    <t>נכון לשנת 2026. יש לוודא מול רשות המסים במועד המכירה בפועל.</t>
  </si>
  <si>
    <t>קצב עדכון שנתי משוער של התקרה:</t>
  </si>
  <si>
    <t>תקרת פטור משוערכת למועד המכירה הצפוי (₪):</t>
  </si>
  <si>
    <t>הבהרה: חישוב מס השבח בגיליון "מודל כלכלי" הוא הערכה כלכלית גסה בלבד, ואינו שומה או חוות דעת מיסוי. יש לקבל חישוב מדויק מרו"ח/עו"ד מיסוי מקרקעין סמוך למועד המכירה.</t>
  </si>
  <si>
    <t>בדיקת תמהיל משכנתא בפועל (אופציונלי – להשוואה מול הצעת בנק בפועל)</t>
  </si>
  <si>
    <t>חלק יחסי</t>
  </si>
  <si>
    <t>סכום (₪)</t>
  </si>
  <si>
    <t>החזר חודשי</t>
  </si>
  <si>
    <t>סה"כ / בדיקה</t>
  </si>
  <si>
    <t>התאמה לסכום המשכנתא הכולל:</t>
  </si>
  <si>
    <t>התאמת ההחזר החודשי המשוקלל להחזר לפי הריבית הממוצעת (הפרש טבעי - PMT אינה לינארית):</t>
  </si>
  <si>
    <t>היוון – לוח זמנים ושווי "פליפ" (מכירת זכויות לפני אכלוס)</t>
  </si>
  <si>
    <t>עוגן זמן ל-DCF (מקושר מגיליון "הנחות עסקה" - מבוסס על זמן ההחזקה + מרווח ביטחון)</t>
  </si>
  <si>
    <t>"תאריך חוזה מוקדם" (למקדמה 20% ותחילת הצמדה למדד):</t>
  </si>
  <si>
    <t>"תאריך חוזה מוקדם" (משמש גם כעוגן להצמדת מדד):</t>
  </si>
  <si>
    <t>תאריך ייחוס למכירה (סוף התקופה, כולל מרווח ביטחון):</t>
  </si>
  <si>
    <t>זמן מרכישה עד תאריך הייחוס (שנים, לבקרה):</t>
  </si>
  <si>
    <t>אמור להיות קרוב ל"זמן החזקה + מרווח הביטחון" שהוזנו בגיליון ההנחות</t>
  </si>
  <si>
    <t>לוח הזמנים התכנוני המפורט "מלמטה למעלה" (תב"ע, עיצוב, היתר וכו') עבר לגיליון "הנחות עסקה" כטבלת מעקב/השוואה בלבד, ואינו מזין יותר את חישוב ה-DCF - לבקשתך, ה-DCF מבוסס כעת ישירות על "זמן ההחזקה עד מכירה" שאתה מזין + מרווח ביטחון.</t>
  </si>
  <si>
    <t>מתווה 1: היוון תמורות מהיזם – רכישת דירה חדשה בתנאי פרי-סייל (DCF)</t>
  </si>
  <si>
    <t>ממחיש את השווי הכלכלי של הזכות לדירה החדשה, לו הייתה נרכשת מהיזם בתשלומים לפי אבני דרך (להשוואה מול מכירת ה"פליפ")</t>
  </si>
  <si>
    <t>תשלום 1 – במועד תחילת השיווק (7%)</t>
  </si>
  <si>
    <t>תשלום 2 – יתרת המקדמה, במועד תחילת השיווק (13%)</t>
  </si>
  <si>
    <t>תשלום 3 – חודש לפני אכלוס (70%)</t>
  </si>
  <si>
    <t>תשלום 4 – מועד אכלוס (10%)</t>
  </si>
  <si>
    <t>תאריך תשלום</t>
  </si>
  <si>
    <t>אחוז מהתמורה</t>
  </si>
  <si>
    <t>סכום נומינלי (₪)</t>
  </si>
  <si>
    <t>תוספת הצמדה למדד תשומות בנייה (₪)</t>
  </si>
  <si>
    <t>שווי מהוון להיום (₪)</t>
  </si>
  <si>
    <t>סה"כ שווי מהוון – מתווה רכישה מהיזם (₪):</t>
  </si>
  <si>
    <t>מתווה 2: היוון שווי "פליפ" – מכירת הדירה הישנה עם זכויות הפינוי-בינוי (לפני אכלוס)</t>
  </si>
  <si>
    <t>קצב שינוי שנתי בשכ"ד עד למועד ההיתר (מקושר מגיליון ההנחות):</t>
  </si>
  <si>
    <t>שכ"ד חודשי מוקרן (₪):</t>
  </si>
  <si>
    <t>רכיב שכ"ד מהוון לתקופת הביניים (עד ההיתר, ₪):</t>
  </si>
  <si>
    <t>מבטא את ערך זרם ההכנסה משכ״ד שהרוכש 'מוותר עליו/נהנה ממנו' ביחס לתקופת ההמתנה עד ההיתר</t>
  </si>
  <si>
    <t>הנחת מיקוח מול בעל דירה פרטי (מול מחיר תיאורטי):</t>
  </si>
  <si>
    <t>ניכוי הנחת מיקוח (₪):</t>
  </si>
  <si>
    <t>שווי "פליפ" מהוון – מחיר מכירה ריאלי משוער (₪):</t>
  </si>
  <si>
    <t>ערך זה נשלף אוטומטית לגיליון "מודל כלכלי" כמחיר מכירה בתרחיש פליפ</t>
  </si>
  <si>
    <t>תזרים מזומנים מתוארך ותשואת IRR</t>
  </si>
  <si>
    <t>תזרים זה מקושר במלואו לגיליון "מודל כלכלי" (ודרכו לגיליון "הנחות עסקה"): כל שינוי בהנחות מתעדכן כאן אוטומטית, כולל עליית שכ"ד שנתית והוצאות שוטפות. ההון העצמי (כולל הוצאות הרכישה) מוצג כיציאת מזומן אחת במועד הרכישה - לא לפי לוח תשלומים מדורג מול המוכר (30%/70%). התזרים מחושב ברמה שנתית (ולא חודשית): שכ"ד אמנם משולם חודשית בפועל, אך איסוף לשנתי הוא קירוב סביר שההשפעה שלו על ה-IRR הכולל שולית ביחס לגודל תקבול המכירה בסוף התקופה - אם תרצה פירוט חודשי מלא (180 שורות לתקופה של 15 שנה) אפשר להוסיף בהמשך.</t>
  </si>
  <si>
    <t>מספר שנים לתזרים (עיגול של זמן ההחזקה):</t>
  </si>
  <si>
    <t>שנה</t>
  </si>
  <si>
    <t>תאריך</t>
  </si>
  <si>
    <t>תיאור</t>
  </si>
  <si>
    <t>תזרים מזומנים (₪)</t>
  </si>
  <si>
    <t>הון עצמי + הוצאות רכישה (יציאת מזומן)</t>
  </si>
  <si>
    <t>↳ תקבול ממכירת הנכס (שנת המכירה)</t>
  </si>
  <si>
    <t>↳ סילוק יתרת משכנתא (שנת המכירה)</t>
  </si>
  <si>
    <t>↳ עלויות מכירה - עו"ד ומתווך (שנת המכירה)</t>
  </si>
  <si>
    <t>↳ מס שבח משוער (שנת המכירה)</t>
  </si>
  <si>
    <t>תשואה שנתית (XIRR) על תזרים המזומנים לעיל:</t>
  </si>
  <si>
    <t>מדד תשואה מדויק המתחשב בתאריכים המדויקים של כל תזרים בפועל, כולל עליית שכ"ד</t>
  </si>
  <si>
    <t>הערה: השורות שמעבר לתקופת ההחזקה בפועל (מספר שנה &gt; זמן ההחזקה שהוגדר) מוצגות עם תזרים אפס ואינן משפיעות על ה-XIRR - הן מאפשרות לשנות את "זמן ההחזקה" בגיליון ההנחות (עד 15 שנה) מבלי לבנות טבלה מחדש. שורות "↳" הן פירוט הרכיבים של שנת המכירה (תקבול מכירה, סילוק משכנתא, עו"ד+מתווך, מס שבח) - כולן חלות באותו תאריך מכירה ומסתכמות יחד עם התזרים התפעולי של אותה שנה.</t>
  </si>
  <si>
    <t>רגישות ותרחישים</t>
  </si>
  <si>
    <t>כל תא בטבלאות שלהלן הוא נוסחה עצמאית (לא "טבלת נתונים" של אקסל) המחשבת מחדש את שרשרת הרווחיות המלאה - כך שהתוצאות שקופות ואמינות במלואן. הטבלאות תלויות-תרחיש: בתרחיש "פליפ" הן משכפלות את חישוב ה-DCF המלא (זהה לגיליון "היוון") עבור כל שילוב זמן/עליית ערך; בתרחיש "עד אכלוס" או "אין פרויקט" הן מבוססות על עליית ערך פשוטה, כמו בגיליון "מודל כלכלי". שינוי התרחיש בגיליון "הנחות עסקה" מתעדכן אוטומטית בכל הטבלאות.</t>
  </si>
  <si>
    <t>טבלה 1: תשואה שנתית (CAGR) לפי זמן החזקה ועליית ערך שנתית</t>
  </si>
  <si>
    <t>עליית ערך \ זמן החזקה</t>
  </si>
  <si>
    <t>טבלה 2: רווח כולל (₪) לפי זמן החזקה ועליית ערך שנתית</t>
  </si>
  <si>
    <t>טבלה 3: תזרים חודשי נטו (₪) לפי ריבית משכנתא ותשואת שכ"ד (שנה 1)</t>
  </si>
  <si>
    <t>כולל הוצאות שוטפות ומקדם תפוסה; שלילי = הדירה "עולה כסף" מדי חודש עד המכירה</t>
  </si>
  <si>
    <t>ריבית משכנתא \ תשואת שכ"ד</t>
  </si>
  <si>
    <t>טבלה 4 (חדש): תשואה שנתית (CAGR) לפי זמן החזקה וקצב עליית שכ"ד שנתי</t>
  </si>
  <si>
    <t>קירוב: שכ"ד ממוצע לאורך התקופה מוערך לפי נקודת האמצע הזמנית (ולא צבירה מדויקת שנה-אחר-שנה כמו בגיליון "תזרים ו-IRR") - לתוצאה מדויקת יש להשתמש ב-XIRR בגיליון הייעודי. עליית ערך הנכס עצמו נשארת קבועה (2%, ברירת המחדל) בטבלה זו כדי לבודד את השפעת עליית השכ"ד.</t>
  </si>
  <si>
    <t>קצב עליית שכ"ד \ זמן החזקה</t>
  </si>
  <si>
    <t>טבלה 5 (חדש): תזרים חודשי נטו (₪) לפי אחוז מימון (LTV)</t>
  </si>
  <si>
    <t>כיצד גובה המימון הבנקאי משפיע על התזרים החודשי (שנה 1) - ככל שהמינוף גבוה יותר, ההחזר החודשי גדל וגם התזרים השלילי גדל.</t>
  </si>
  <si>
    <t>אחוז מימון (LTV)</t>
  </si>
  <si>
    <t>תזרים חודשי נטו</t>
  </si>
  <si>
    <t>טבלה 6 (חדש): תשואה שנתית (CAGR) לפי עליית שכ"ד וריבית משכנתא (בזמן החזקה הנוכחי)</t>
  </si>
  <si>
    <t>מבודד את ההשפעה המשולבת של קצב עליית שכ"ד וריבית המשכנתא על התשואה, בזמן החזקה קבוע (ההנחה הנוכחית).</t>
  </si>
  <si>
    <t>עליית שכ"ד \ ריבית משכנתא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</si>
</sst>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quot;₪ &quot;* #,##0_ ;_ &quot;₪ &quot;* \-#,##0_ ;_ &quot;₪ &quot;* \-??_ ;_ @_ "/>
    <numFmt numFmtId="165" formatCode="#,##0,&quot;  אלפי ₪&quot;"/>
    <numFmt numFmtId="166" formatCode="0.0%"/>
    <numFmt numFmtId="167" formatCode="&quot;₪ &quot;#,##0"/>
  </numFmts>
  <fonts count="21">
    <font>
      <sz val="11"/>
      <color theme="1"/>
      <name val="Calibri"/>
      <family val="2"/>
      <charset val="1"/>
    </font>
    <font>
      <b/>
      <sz val="22"/>
      <color rgb="FFFFFFFF"/>
      <name val="Assistant"/>
      <charset val="1"/>
    </font>
    <font>
      <i/>
      <sz val="10"/>
      <color rgb="FF555555"/>
      <name val="Assistant"/>
      <charset val="1"/>
    </font>
    <font>
      <b/>
      <sz val="10"/>
      <color rgb="FF000000"/>
      <name val="Assistant"/>
      <charset val="1"/>
    </font>
    <font>
      <sz val="10"/>
      <color rgb="FF1155CC"/>
      <name val="Assistant"/>
      <charset val="1"/>
    </font>
    <font>
      <b/>
      <sz val="12"/>
      <color rgb="FFFFFFFF"/>
      <name val="Assistant"/>
      <charset val="1"/>
    </font>
    <font>
      <b/>
      <sz val="11"/>
      <color rgb="FF000000"/>
      <name val="Assistant"/>
      <charset val="1"/>
    </font>
    <font>
      <sz val="11"/>
      <color rgb="FF000000"/>
      <name val="Assistant"/>
      <charset val="1"/>
    </font>
    <font>
      <sz val="13"/>
      <color rgb="FF000000"/>
      <name val="Assistant"/>
      <charset val="1"/>
    </font>
    <font>
      <b/>
      <sz val="11"/>
      <color rgb="FFFFFFFF"/>
      <name val="Assistant"/>
      <charset val="1"/>
    </font>
    <font>
      <b/>
      <sz val="18"/>
      <color rgb="FF1F4E78"/>
      <name val="Assistant"/>
      <charset val="1"/>
    </font>
    <font>
      <i/>
      <sz val="8"/>
      <color rgb="FF666666"/>
      <name val="Assistant"/>
      <charset val="1"/>
    </font>
    <font>
      <i/>
      <sz val="9"/>
      <color rgb="FF666666"/>
      <name val="Assistant"/>
      <charset val="1"/>
    </font>
    <font>
      <b/>
      <sz val="9"/>
      <color rgb="FF000000"/>
      <name val="Assistant"/>
      <charset val="1"/>
    </font>
    <font>
      <i/>
      <sz val="8"/>
      <color rgb="FF808080"/>
      <name val="Assistant"/>
      <charset val="1"/>
    </font>
    <font>
      <b/>
      <sz val="20"/>
      <color rgb="FFFFFFFF"/>
      <name val="Assistant"/>
      <charset val="1"/>
    </font>
    <font>
      <sz val="9"/>
      <color rgb="FF1155CC"/>
      <name val="Assistant"/>
      <charset val="1"/>
    </font>
    <font>
      <sz val="10"/>
      <name val="Arial"/>
      <family val="2"/>
    </font>
    <font>
      <sz val="10"/>
      <name val="FreeSans"/>
      <family val="2"/>
    </font>
    <font>
      <b/>
      <sz val="16"/>
      <color rgb="FFFFFFFF"/>
      <name val="Assistant"/>
      <charset val="1"/>
    </font>
    <font>
      <i/>
      <sz val="9"/>
      <color rgb="FFC00000"/>
      <name val="Assistant"/>
      <charset val="1"/>
    </font>
  </fonts>
  <fills count="13">
    <fill>
      <patternFill patternType="none"/>
    </fill>
    <fill>
      <patternFill patternType="gray125"/>
    </fill>
    <fill>
      <patternFill patternType="solid">
        <fgColor rgb="FF1F4E78"/>
        <bgColor rgb="FF2E5395"/>
      </patternFill>
    </fill>
    <fill>
      <patternFill patternType="solid">
        <fgColor rgb="FFF2F2F2"/>
        <bgColor rgb="FFF7F7F7"/>
      </patternFill>
    </fill>
    <fill>
      <patternFill patternType="solid">
        <fgColor rgb="FFE2F0D9"/>
        <bgColor rgb="FFEDEDED"/>
      </patternFill>
    </fill>
    <fill>
      <patternFill patternType="solid">
        <fgColor rgb="FFBDD7EE"/>
        <bgColor rgb="FFD4EEF8"/>
      </patternFill>
    </fill>
    <fill>
      <patternFill patternType="solid">
        <fgColor rgb="FFF7F7F7"/>
        <bgColor rgb="FFF2F2F2"/>
      </patternFill>
    </fill>
    <fill>
      <patternFill patternType="solid">
        <fgColor rgb="FFEDEDED"/>
        <bgColor rgb="FFF2F2F2"/>
      </patternFill>
    </fill>
    <fill>
      <patternFill patternType="solid">
        <fgColor rgb="FFFFFFFF"/>
        <bgColor rgb="FFF7F7F7"/>
      </patternFill>
    </fill>
    <fill>
      <patternFill patternType="solid">
        <fgColor rgb="FFD4EEF8"/>
        <bgColor rgb="FFE2F0D9"/>
      </patternFill>
    </fill>
    <fill>
      <patternFill patternType="solid">
        <fgColor rgb="FFF8CBAD"/>
        <bgColor rgb="FFFAF6AC"/>
      </patternFill>
    </fill>
    <fill>
      <patternFill patternType="solid">
        <fgColor rgb="FFFAF6AC"/>
        <bgColor rgb="FFE2F0D9"/>
      </patternFill>
    </fill>
    <fill>
      <patternFill patternType="solid">
        <fgColor rgb="FFFFFF00"/>
        <bgColor rgb="FFFFFF00"/>
      </patternFill>
    </fill>
  </fills>
  <borders count="4">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diagonal/>
    </border>
    <border>
      <left style="thin">
        <color rgb="FFBFBFBF"/>
      </left>
      <right/>
      <top style="thin">
        <color rgb="FFBFBFBF"/>
      </top>
      <bottom style="thin">
        <color rgb="FFBFBFBF"/>
      </bottom>
      <diagonal/>
    </border>
  </borders>
  <cellStyleXfs count="1">
    <xf numFmtId="0" fontId="0" fillId="0" borderId="0"/>
  </cellStyleXfs>
  <cellXfs count="81">
    <xf numFmtId="0" fontId="0" fillId="0" borderId="0" xfId="0"/>
    <xf numFmtId="0" fontId="2" fillId="0" borderId="0" xfId="0" applyFont="1" applyAlignment="1">
      <alignment horizontal="right" vertical="center" wrapText="1" readingOrder="2"/>
    </xf>
    <xf numFmtId="0" fontId="15" fillId="2" borderId="0" xfId="0" applyFont="1" applyFill="1" applyAlignment="1">
      <alignment horizontal="right" vertical="center" readingOrder="2"/>
    </xf>
    <xf numFmtId="0" fontId="14" fillId="0" borderId="0" xfId="0" applyFont="1" applyAlignment="1">
      <alignment horizontal="right" vertical="center" wrapText="1" readingOrder="2"/>
    </xf>
    <xf numFmtId="0" fontId="12" fillId="0" borderId="0" xfId="0" applyFont="1" applyAlignment="1">
      <alignment horizontal="right" vertical="center" wrapText="1" readingOrder="2"/>
    </xf>
    <xf numFmtId="0" fontId="11" fillId="0" borderId="0" xfId="0" applyFont="1" applyAlignment="1">
      <alignment horizontal="center" vertical="center" readingOrder="2"/>
    </xf>
    <xf numFmtId="166" fontId="10" fillId="5" borderId="3" xfId="0" applyNumberFormat="1" applyFont="1" applyFill="1" applyBorder="1" applyAlignment="1">
      <alignment horizontal="center" vertical="center" readingOrder="2"/>
    </xf>
    <xf numFmtId="165" fontId="10" fillId="5" borderId="3" xfId="0" applyNumberFormat="1" applyFont="1" applyFill="1" applyBorder="1" applyAlignment="1">
      <alignment horizontal="center" vertical="center" readingOrder="2"/>
    </xf>
    <xf numFmtId="0" fontId="9" fillId="2" borderId="3" xfId="0" applyFont="1" applyFill="1" applyBorder="1" applyAlignment="1">
      <alignment horizontal="center" vertical="center" readingOrder="2"/>
    </xf>
    <xf numFmtId="0" fontId="8" fillId="6" borderId="2" xfId="0" applyFont="1" applyFill="1" applyBorder="1" applyAlignment="1">
      <alignment horizontal="right" vertical="center" wrapText="1" readingOrder="2"/>
    </xf>
    <xf numFmtId="0" fontId="5" fillId="2" borderId="0" xfId="0" applyFont="1" applyFill="1" applyAlignment="1">
      <alignment horizontal="right" vertical="center" readingOrder="2"/>
    </xf>
    <xf numFmtId="0" fontId="2" fillId="0" borderId="0" xfId="0" applyFont="1" applyAlignment="1">
      <alignment horizontal="right" vertical="center" readingOrder="2"/>
    </xf>
    <xf numFmtId="0" fontId="1" fillId="2" borderId="0" xfId="0" applyFont="1" applyFill="1" applyAlignment="1">
      <alignment horizontal="right" vertical="center" readingOrder="2"/>
    </xf>
    <xf numFmtId="0" fontId="3" fillId="0" borderId="0" xfId="0" applyFont="1" applyAlignment="1">
      <alignment horizontal="right" vertical="center" readingOrder="2"/>
    </xf>
    <xf numFmtId="0" fontId="4" fillId="3" borderId="1" xfId="0" applyFont="1" applyFill="1" applyBorder="1" applyAlignment="1">
      <alignment horizontal="center" vertical="center" readingOrder="2"/>
    </xf>
    <xf numFmtId="0" fontId="6" fillId="0" borderId="1" xfId="0" applyFont="1" applyBorder="1" applyAlignment="1">
      <alignment horizontal="right" vertical="center" readingOrder="2"/>
    </xf>
    <xf numFmtId="0" fontId="7" fillId="4" borderId="1" xfId="0" applyFont="1" applyFill="1" applyBorder="1" applyAlignment="1">
      <alignment horizontal="right" vertical="center" readingOrder="2"/>
    </xf>
    <xf numFmtId="0" fontId="6" fillId="5" borderId="1" xfId="0" applyFont="1" applyFill="1" applyBorder="1" applyAlignment="1">
      <alignment horizontal="center" vertical="center" readingOrder="2"/>
    </xf>
    <xf numFmtId="0" fontId="7" fillId="4" borderId="1" xfId="0" applyFont="1" applyFill="1" applyBorder="1" applyAlignment="1">
      <alignment horizontal="center" vertical="center" readingOrder="2"/>
    </xf>
    <xf numFmtId="164" fontId="7" fillId="4" borderId="1" xfId="0" applyNumberFormat="1" applyFont="1" applyFill="1" applyBorder="1" applyAlignment="1">
      <alignment horizontal="center" vertical="center" readingOrder="1"/>
    </xf>
    <xf numFmtId="0" fontId="12" fillId="0" borderId="0" xfId="0" applyFont="1" applyAlignment="1">
      <alignment horizontal="right" vertical="center" wrapText="1" readingOrder="2"/>
    </xf>
    <xf numFmtId="0" fontId="13" fillId="7" borderId="1" xfId="0" applyFont="1" applyFill="1" applyBorder="1" applyAlignment="1">
      <alignment horizontal="center" vertical="center" readingOrder="2"/>
    </xf>
    <xf numFmtId="0" fontId="7" fillId="0" borderId="1" xfId="0" applyFont="1" applyBorder="1" applyAlignment="1">
      <alignment horizontal="right" vertical="center" readingOrder="2"/>
    </xf>
    <xf numFmtId="167" fontId="7" fillId="8" borderId="0" xfId="0" applyNumberFormat="1" applyFont="1" applyFill="1" applyAlignment="1">
      <alignment horizontal="center" vertical="center" readingOrder="1"/>
    </xf>
    <xf numFmtId="167" fontId="7" fillId="9" borderId="1" xfId="0" applyNumberFormat="1" applyFont="1" applyFill="1" applyBorder="1" applyAlignment="1">
      <alignment horizontal="center" vertical="center" readingOrder="1"/>
    </xf>
    <xf numFmtId="167" fontId="7" fillId="10" borderId="1" xfId="0" applyNumberFormat="1" applyFont="1" applyFill="1" applyBorder="1" applyAlignment="1">
      <alignment horizontal="center" vertical="center" readingOrder="1"/>
    </xf>
    <xf numFmtId="167" fontId="6" fillId="5" borderId="1" xfId="0" applyNumberFormat="1" applyFont="1" applyFill="1" applyBorder="1" applyAlignment="1">
      <alignment horizontal="center" vertical="center" readingOrder="1"/>
    </xf>
    <xf numFmtId="0" fontId="16" fillId="0" borderId="0" xfId="0" applyFont="1" applyAlignment="1">
      <alignment horizontal="center" vertical="center"/>
    </xf>
    <xf numFmtId="0" fontId="7" fillId="11" borderId="1" xfId="0" applyFont="1" applyFill="1" applyBorder="1" applyAlignment="1">
      <alignment horizontal="center" vertical="center" readingOrder="2"/>
    </xf>
    <xf numFmtId="0" fontId="12" fillId="0" borderId="0" xfId="0" applyFont="1" applyAlignment="1">
      <alignment horizontal="right" vertical="center" readingOrder="2"/>
    </xf>
    <xf numFmtId="164" fontId="7" fillId="12" borderId="1" xfId="0" applyNumberFormat="1" applyFont="1" applyFill="1" applyBorder="1" applyAlignment="1">
      <alignment horizontal="center" vertical="center" readingOrder="1"/>
    </xf>
    <xf numFmtId="164" fontId="7" fillId="9" borderId="1" xfId="0" applyNumberFormat="1" applyFont="1" applyFill="1" applyBorder="1" applyAlignment="1">
      <alignment horizontal="center" vertical="center" readingOrder="1"/>
    </xf>
    <xf numFmtId="164" fontId="6" fillId="5" borderId="1" xfId="0" applyNumberFormat="1" applyFont="1" applyFill="1" applyBorder="1" applyAlignment="1">
      <alignment horizontal="center" vertical="center" readingOrder="1"/>
    </xf>
    <xf numFmtId="166" fontId="7" fillId="11" borderId="1" xfId="0" applyNumberFormat="1" applyFont="1" applyFill="1" applyBorder="1" applyAlignment="1">
      <alignment horizontal="center" vertical="center" readingOrder="2"/>
    </xf>
    <xf numFmtId="166" fontId="7" fillId="12" borderId="1" xfId="0" applyNumberFormat="1" applyFont="1" applyFill="1" applyBorder="1" applyAlignment="1">
      <alignment horizontal="center" vertical="center" readingOrder="2"/>
    </xf>
    <xf numFmtId="10" fontId="7" fillId="11" borderId="1" xfId="0" applyNumberFormat="1" applyFont="1" applyFill="1" applyBorder="1" applyAlignment="1">
      <alignment horizontal="center" vertical="center" readingOrder="2"/>
    </xf>
    <xf numFmtId="3" fontId="7" fillId="11" borderId="1" xfId="0" applyNumberFormat="1" applyFont="1" applyFill="1" applyBorder="1" applyAlignment="1">
      <alignment horizontal="center" vertical="center" readingOrder="2"/>
    </xf>
    <xf numFmtId="164" fontId="7" fillId="11" borderId="1" xfId="0" applyNumberFormat="1" applyFont="1" applyFill="1" applyBorder="1" applyAlignment="1">
      <alignment horizontal="center" vertical="center" readingOrder="1"/>
    </xf>
    <xf numFmtId="4" fontId="7" fillId="11" borderId="1" xfId="0" applyNumberFormat="1" applyFont="1" applyFill="1" applyBorder="1" applyAlignment="1">
      <alignment horizontal="center" vertical="center" readingOrder="2"/>
    </xf>
    <xf numFmtId="4" fontId="7" fillId="12" borderId="1" xfId="0" applyNumberFormat="1" applyFont="1" applyFill="1" applyBorder="1" applyAlignment="1">
      <alignment horizontal="center" vertical="center" readingOrder="2"/>
    </xf>
    <xf numFmtId="0" fontId="7" fillId="12" borderId="1" xfId="0" applyFont="1" applyFill="1" applyBorder="1" applyAlignment="1">
      <alignment horizontal="center" vertical="center" readingOrder="2"/>
    </xf>
    <xf numFmtId="3" fontId="7" fillId="12" borderId="1" xfId="0" applyNumberFormat="1" applyFont="1" applyFill="1" applyBorder="1" applyAlignment="1">
      <alignment horizontal="center" vertical="center" readingOrder="2"/>
    </xf>
    <xf numFmtId="167" fontId="7" fillId="12" borderId="1" xfId="0" applyNumberFormat="1" applyFont="1" applyFill="1" applyBorder="1" applyAlignment="1">
      <alignment horizontal="center" vertical="center" readingOrder="1"/>
    </xf>
    <xf numFmtId="14" fontId="7" fillId="11" borderId="1" xfId="0" applyNumberFormat="1" applyFont="1" applyFill="1" applyBorder="1" applyAlignment="1">
      <alignment horizontal="center" vertical="center" readingOrder="2"/>
    </xf>
    <xf numFmtId="14" fontId="6" fillId="5" borderId="1" xfId="0" applyNumberFormat="1" applyFont="1" applyFill="1" applyBorder="1" applyAlignment="1">
      <alignment horizontal="center" vertical="center" readingOrder="2"/>
    </xf>
    <xf numFmtId="14" fontId="7" fillId="9" borderId="1" xfId="0" applyNumberFormat="1" applyFont="1" applyFill="1" applyBorder="1" applyAlignment="1">
      <alignment horizontal="center" vertical="center" readingOrder="2"/>
    </xf>
    <xf numFmtId="4" fontId="7" fillId="9" borderId="1" xfId="0" applyNumberFormat="1" applyFont="1" applyFill="1" applyBorder="1" applyAlignment="1">
      <alignment horizontal="center" vertical="center" readingOrder="2"/>
    </xf>
    <xf numFmtId="0" fontId="6" fillId="0" borderId="0" xfId="0" applyFont="1" applyAlignment="1">
      <alignment horizontal="right" vertical="center" readingOrder="2"/>
    </xf>
    <xf numFmtId="0" fontId="7" fillId="12" borderId="1" xfId="0" applyFont="1" applyFill="1" applyBorder="1" applyAlignment="1">
      <alignment horizontal="right" vertical="center" readingOrder="2"/>
    </xf>
    <xf numFmtId="0" fontId="7" fillId="11" borderId="1" xfId="0" applyFont="1" applyFill="1" applyBorder="1" applyAlignment="1">
      <alignment horizontal="right" vertical="center" readingOrder="2"/>
    </xf>
    <xf numFmtId="0" fontId="7" fillId="9" borderId="1" xfId="0" applyFont="1" applyFill="1" applyBorder="1" applyAlignment="1">
      <alignment horizontal="right" vertical="center" readingOrder="2"/>
    </xf>
    <xf numFmtId="0" fontId="7" fillId="5" borderId="1" xfId="0" applyFont="1" applyFill="1" applyBorder="1" applyAlignment="1">
      <alignment horizontal="right" vertical="center" readingOrder="2"/>
    </xf>
    <xf numFmtId="0" fontId="7" fillId="10" borderId="1" xfId="0" applyFont="1" applyFill="1" applyBorder="1" applyAlignment="1">
      <alignment horizontal="right" vertical="center" readingOrder="2"/>
    </xf>
    <xf numFmtId="166" fontId="7" fillId="4" borderId="1" xfId="0" applyNumberFormat="1" applyFont="1" applyFill="1" applyBorder="1" applyAlignment="1">
      <alignment horizontal="center" vertical="center" readingOrder="2"/>
    </xf>
    <xf numFmtId="10" fontId="7" fillId="4" borderId="1" xfId="0" applyNumberFormat="1" applyFont="1" applyFill="1" applyBorder="1" applyAlignment="1">
      <alignment horizontal="center" vertical="center" readingOrder="2"/>
    </xf>
    <xf numFmtId="3" fontId="7" fillId="4" borderId="1" xfId="0" applyNumberFormat="1" applyFont="1" applyFill="1" applyBorder="1" applyAlignment="1">
      <alignment horizontal="center" vertical="center" readingOrder="2"/>
    </xf>
    <xf numFmtId="4" fontId="7" fillId="4" borderId="1" xfId="0" applyNumberFormat="1" applyFont="1" applyFill="1" applyBorder="1" applyAlignment="1">
      <alignment horizontal="center" vertical="center" readingOrder="2"/>
    </xf>
    <xf numFmtId="167" fontId="7" fillId="4" borderId="1" xfId="0" applyNumberFormat="1" applyFont="1" applyFill="1" applyBorder="1" applyAlignment="1">
      <alignment horizontal="center" vertical="center" readingOrder="1"/>
    </xf>
    <xf numFmtId="0" fontId="7" fillId="9" borderId="1" xfId="0" applyFont="1" applyFill="1" applyBorder="1" applyAlignment="1">
      <alignment horizontal="center" vertical="center" readingOrder="2"/>
    </xf>
    <xf numFmtId="166" fontId="7" fillId="9" borderId="1" xfId="0" applyNumberFormat="1" applyFont="1" applyFill="1" applyBorder="1" applyAlignment="1">
      <alignment horizontal="center" vertical="center" readingOrder="2"/>
    </xf>
    <xf numFmtId="164" fontId="7" fillId="5" borderId="1" xfId="0" applyNumberFormat="1" applyFont="1" applyFill="1" applyBorder="1" applyAlignment="1">
      <alignment horizontal="center" vertical="center" readingOrder="1"/>
    </xf>
    <xf numFmtId="164" fontId="7" fillId="10" borderId="1" xfId="0" applyNumberFormat="1" applyFont="1" applyFill="1" applyBorder="1" applyAlignment="1">
      <alignment horizontal="center" vertical="center" readingOrder="1"/>
    </xf>
    <xf numFmtId="166" fontId="6" fillId="5" borderId="1" xfId="0" applyNumberFormat="1" applyFont="1" applyFill="1" applyBorder="1" applyAlignment="1">
      <alignment horizontal="center" vertical="center" readingOrder="2"/>
    </xf>
    <xf numFmtId="166" fontId="6" fillId="4" borderId="1" xfId="0" applyNumberFormat="1" applyFont="1" applyFill="1" applyBorder="1" applyAlignment="1">
      <alignment horizontal="center" vertical="center" readingOrder="2"/>
    </xf>
    <xf numFmtId="0" fontId="6" fillId="7" borderId="1" xfId="0" applyFont="1" applyFill="1" applyBorder="1" applyAlignment="1">
      <alignment horizontal="center" vertical="center" readingOrder="2"/>
    </xf>
    <xf numFmtId="167" fontId="7" fillId="11" borderId="1" xfId="0" applyNumberFormat="1" applyFont="1" applyFill="1" applyBorder="1" applyAlignment="1">
      <alignment horizontal="center" vertical="center" readingOrder="1"/>
    </xf>
    <xf numFmtId="10" fontId="7" fillId="9" borderId="1" xfId="0" applyNumberFormat="1" applyFont="1" applyFill="1" applyBorder="1" applyAlignment="1">
      <alignment horizontal="center" vertical="center" readingOrder="2"/>
    </xf>
    <xf numFmtId="167" fontId="6" fillId="9" borderId="1" xfId="0" applyNumberFormat="1" applyFont="1" applyFill="1" applyBorder="1" applyAlignment="1">
      <alignment horizontal="center" vertical="center" readingOrder="1"/>
    </xf>
    <xf numFmtId="166" fontId="6" fillId="9" borderId="1" xfId="0" applyNumberFormat="1" applyFont="1" applyFill="1" applyBorder="1" applyAlignment="1">
      <alignment horizontal="center" vertical="center" readingOrder="2"/>
    </xf>
    <xf numFmtId="0" fontId="7" fillId="9" borderId="0" xfId="0" applyFont="1" applyFill="1" applyAlignment="1">
      <alignment horizontal="center" vertical="center" readingOrder="2"/>
    </xf>
    <xf numFmtId="0" fontId="7" fillId="0" borderId="1" xfId="0" applyFont="1" applyBorder="1" applyAlignment="1">
      <alignment horizontal="right" vertical="center" wrapText="1" readingOrder="2"/>
    </xf>
    <xf numFmtId="14" fontId="7" fillId="4" borderId="1" xfId="0" applyNumberFormat="1" applyFont="1" applyFill="1" applyBorder="1" applyAlignment="1">
      <alignment horizontal="center" vertical="center" readingOrder="2"/>
    </xf>
    <xf numFmtId="0" fontId="13" fillId="7" borderId="1" xfId="0" applyFont="1" applyFill="1" applyBorder="1" applyAlignment="1">
      <alignment horizontal="center" vertical="center" wrapText="1" readingOrder="2"/>
    </xf>
    <xf numFmtId="3" fontId="7" fillId="9" borderId="1" xfId="0" applyNumberFormat="1" applyFont="1" applyFill="1" applyBorder="1" applyAlignment="1">
      <alignment horizontal="center" vertical="center" readingOrder="2"/>
    </xf>
    <xf numFmtId="166" fontId="6" fillId="7" borderId="1" xfId="0" applyNumberFormat="1" applyFont="1" applyFill="1" applyBorder="1" applyAlignment="1">
      <alignment horizontal="center" vertical="center" readingOrder="2"/>
    </xf>
    <xf numFmtId="166" fontId="7" fillId="5" borderId="1" xfId="0" applyNumberFormat="1" applyFont="1" applyFill="1" applyBorder="1" applyAlignment="1">
      <alignment horizontal="center" vertical="center" readingOrder="2"/>
    </xf>
    <xf numFmtId="167" fontId="7" fillId="5" borderId="1" xfId="0" applyNumberFormat="1" applyFont="1" applyFill="1" applyBorder="1" applyAlignment="1">
      <alignment horizontal="center" vertical="center" readingOrder="1"/>
    </xf>
    <xf numFmtId="10" fontId="6" fillId="7" borderId="1" xfId="0" applyNumberFormat="1" applyFont="1" applyFill="1" applyBorder="1" applyAlignment="1">
      <alignment horizontal="center" vertical="center" readingOrder="2"/>
    </xf>
    <xf numFmtId="9" fontId="6" fillId="7" borderId="1" xfId="0" applyNumberFormat="1" applyFont="1" applyFill="1" applyBorder="1" applyAlignment="1">
      <alignment horizontal="center" vertical="center" readingOrder="2"/>
    </xf>
    <xf numFmtId="0" fontId="19" fillId="2" borderId="0" xfId="0" applyFont="1" applyFill="1" applyAlignment="1">
      <alignment horizontal="right" vertical="center" readingOrder="2"/>
    </xf>
    <xf numFmtId="0" fontId="20" fillId="0" borderId="0" xfId="0" applyFont="1" applyAlignment="1">
      <alignment horizontal="right" vertical="center" wrapText="1" readingOrder="2"/>
    </xf>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7030A0"/>
      <rgbColor rgb="FFF7F7F7"/>
      <rgbColor rgb="FFD4EEF8"/>
      <rgbColor rgb="FF660066"/>
      <rgbColor rgb="FFFF8080"/>
      <rgbColor rgb="FF1155CC"/>
      <rgbColor rgb="FFBDD7EE"/>
      <rgbColor rgb="FF000080"/>
      <rgbColor rgb="FFFF00FF"/>
      <rgbColor rgb="FFFFFF00"/>
      <rgbColor rgb="FF00FFFF"/>
      <rgbColor rgb="FF800080"/>
      <rgbColor rgb="FF800000"/>
      <rgbColor rgb="FF008080"/>
      <rgbColor rgb="FF0000FF"/>
      <rgbColor rgb="FF00CCFF"/>
      <rgbColor rgb="FFF2F2F2"/>
      <rgbColor rgb="FFE2F0D9"/>
      <rgbColor rgb="FFFAF6AC"/>
      <rgbColor rgb="FFEDEDED"/>
      <rgbColor rgb="FFFF99CC"/>
      <rgbColor rgb="FFCC99FF"/>
      <rgbColor rgb="FFF8CBAD"/>
      <rgbColor rgb="FF3366FF"/>
      <rgbColor rgb="FF33CCCC"/>
      <rgbColor rgb="FF99CC00"/>
      <rgbColor rgb="FFFFCC00"/>
      <rgbColor rgb="FFFF9900"/>
      <rgbColor rgb="FFFF6600"/>
      <rgbColor rgb="FF666666"/>
      <rgbColor rgb="FF70AD47"/>
      <rgbColor rgb="FF1F4E78"/>
      <rgbColor rgb="FF339966"/>
      <rgbColor rgb="FF003300"/>
      <rgbColor rgb="FF555555"/>
      <rgbColor rgb="FF833C0C"/>
      <rgbColor rgb="FF993366"/>
      <rgbColor rgb="FF2E5395"/>
      <rgbColor rgb="FF37562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_t9.xlsx" TargetMode="External"/><Relationship Id="rId2" Type="http://schemas.openxmlformats.org/officeDocument/2006/relationships/hyperlink" Target="_t9.xlsx" TargetMode="External"/><Relationship Id="rId1" Type="http://schemas.openxmlformats.org/officeDocument/2006/relationships/hyperlink" Target="_t9.xlsx" TargetMode="External"/><Relationship Id="rId6" Type="http://schemas.openxmlformats.org/officeDocument/2006/relationships/hyperlink" Target="_t9.xlsx" TargetMode="External"/><Relationship Id="rId5" Type="http://schemas.openxmlformats.org/officeDocument/2006/relationships/hyperlink" Target="_t9.xlsx" TargetMode="External"/><Relationship Id="rId4" Type="http://schemas.openxmlformats.org/officeDocument/2006/relationships/hyperlink" Target="_t9.xlsx"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_t9.xlsx"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hyperlink" Target="_t9.xlsx"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hyperlink" Target="_t9.xlsx"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_t9.xlsx"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_t9.xls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_t9.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AD47"/>
  </sheetPr>
  <dimension ref="B1:I76"/>
  <sheetViews>
    <sheetView showGridLines="0" rightToLeft="1" zoomScaleNormal="100" workbookViewId="0">
      <pane ySplit="4" topLeftCell="A5" activePane="bottomLeft" state="frozen"/>
      <selection pane="bottomLeft"/>
    </sheetView>
  </sheetViews>
  <sheetFormatPr defaultColWidth="8.6640625" defaultRowHeight="14.4"/>
  <cols>
    <col min="1" max="1" width="2.44140625" customWidth="1"/>
    <col min="2" max="9" width="15" customWidth="1"/>
  </cols>
  <sheetData>
    <row r="1" spans="2:9" ht="37.5" customHeight="1">
      <c r="B1" s="12" t="str">
        <f>CONCATENATE("תמצית עסקה – ",'הנחות עסקה'!$C$5)</f>
        <v>תמצית עסקה – כצנלסון, גבעתיים</v>
      </c>
      <c r="C1" s="12"/>
      <c r="D1" s="12"/>
      <c r="E1" s="12"/>
      <c r="F1" s="12"/>
      <c r="G1" s="12"/>
      <c r="H1" s="12"/>
      <c r="I1" s="12"/>
    </row>
    <row r="2" spans="2:9" ht="15" customHeight="1">
      <c r="B2" s="11" t="str">
        <f ca="1">CONCATENATE("הופק: ", TEXT(TODAY(),"DD/MM/YYYY"), "  |  לפרטים המלאים ולעריכת נתוני העסקה ר' הגיליונות הבאים")</f>
        <v>הופק: 20/08/2026  |  לפרטים המלאים ולעריכת נתוני העסקה ר' הגיליונות הבאים</v>
      </c>
      <c r="C2" s="11"/>
      <c r="D2" s="11"/>
      <c r="E2" s="11"/>
      <c r="F2" s="11"/>
      <c r="G2" s="11"/>
      <c r="H2" s="11"/>
      <c r="I2" s="11"/>
    </row>
    <row r="4" spans="2:9" ht="15" customHeight="1">
      <c r="B4" s="13" t="s">
        <v>0</v>
      </c>
      <c r="C4" s="14" t="s">
        <v>1</v>
      </c>
      <c r="D4" s="14" t="s">
        <v>2</v>
      </c>
      <c r="E4" s="14" t="s">
        <v>3</v>
      </c>
      <c r="F4" s="14" t="s">
        <v>4</v>
      </c>
      <c r="G4" s="14" t="s">
        <v>5</v>
      </c>
      <c r="H4" s="14" t="s">
        <v>6</v>
      </c>
    </row>
    <row r="6" spans="2:9" ht="19.5" customHeight="1">
      <c r="B6" s="10" t="s">
        <v>7</v>
      </c>
      <c r="C6" s="10"/>
      <c r="D6" s="10"/>
      <c r="E6" s="10"/>
      <c r="F6" s="10"/>
      <c r="G6" s="10"/>
      <c r="H6" s="10"/>
      <c r="I6" s="10"/>
    </row>
    <row r="7" spans="2:9" ht="15" customHeight="1">
      <c r="B7" s="15" t="s">
        <v>8</v>
      </c>
      <c r="C7" s="16" t="str">
        <f>'הנחות עסקה'!$C$5</f>
        <v>כצנלסון, גבעתיים</v>
      </c>
      <c r="E7" s="15" t="s">
        <v>9</v>
      </c>
      <c r="F7" s="17" t="str">
        <f>'מודל כלכלי'!$C$26</f>
        <v>פליפ</v>
      </c>
    </row>
    <row r="8" spans="2:9" ht="15" customHeight="1">
      <c r="B8" s="15" t="s">
        <v>10</v>
      </c>
      <c r="C8" s="16" t="str">
        <f>'הנחות עסקה'!$C$7</f>
        <v>יזם מוביל מהחברות הגדולות במשק</v>
      </c>
      <c r="E8" s="15" t="s">
        <v>11</v>
      </c>
      <c r="F8" s="18" t="str">
        <f>CONCATENATE(TEXT('מודל כלכלי'!$C$25,"0.#")," שנים")</f>
        <v>8. שנים</v>
      </c>
    </row>
    <row r="9" spans="2:9" ht="15" customHeight="1">
      <c r="B9" s="15" t="s">
        <v>12</v>
      </c>
      <c r="C9" s="19">
        <f>'מודל כלכלי'!$C$13</f>
        <v>2225000</v>
      </c>
      <c r="E9" s="15" t="s">
        <v>13</v>
      </c>
      <c r="F9" s="19">
        <f>'מודל כלכלי'!$C$45</f>
        <v>658950</v>
      </c>
    </row>
    <row r="11" spans="2:9" ht="19.5" customHeight="1">
      <c r="B11" s="10" t="s">
        <v>14</v>
      </c>
      <c r="C11" s="10"/>
      <c r="D11" s="10"/>
      <c r="E11" s="10"/>
      <c r="F11" s="10"/>
      <c r="G11" s="10"/>
      <c r="H11" s="10"/>
      <c r="I11" s="10"/>
    </row>
    <row r="12" spans="2:9" ht="21.75" customHeight="1">
      <c r="B12" s="9" t="str">
        <f ca="1">CONCATENATE("עסקת ",'הנחות עסקה'!$C$5,", בתרחיש ״",'מודל כלכלי'!$C$26,"״, צפויה להניב רווח כולל של כ-",TEXT('מודל כלכלי'!$C$77,"#,##0")," ₪ על פני כ-",TEXT('מודל כלכלי'!$C$25,"0.#")," שנות החזקה, המשקף תשואה שנתית ממוצעת (CAGR) של כ-",TEXT('מודל כלכלי'!$C$79,"0.0%")," ותשואה שנתית לפי תזרים מזומנים מתוארך (IRR) של כ-",TEXT('מודל כלכלי'!$C$80,"0.0%"),", על הון עצמי מושקע של כ-",TEXT('מודל כלכלי'!$C$45,"#,##0")," ₪.")</f>
        <v>עסקת כצנלסון, גבעתיים, בתרחיש ״פליפ״, צפויה להניב רווח כולל של כ-1,940,000 ₪ על פני כ-8. שנות החזקה, המשקף תשואה שנתית ממוצעת (CAGR) של כ-18.7% ותשואה שנתית לפי תזרים מזומנים מתוארך (IRR) של כ-17.8%, על הון עצמי מושקע של כ-658,950 ₪.</v>
      </c>
      <c r="C12" s="9"/>
      <c r="D12" s="9"/>
      <c r="E12" s="9"/>
      <c r="F12" s="9"/>
      <c r="G12" s="9"/>
      <c r="H12" s="9"/>
      <c r="I12" s="9"/>
    </row>
    <row r="13" spans="2:9" ht="21.75" customHeight="1">
      <c r="B13" s="9"/>
      <c r="C13" s="9"/>
      <c r="D13" s="9"/>
      <c r="E13" s="9"/>
      <c r="F13" s="9"/>
      <c r="G13" s="9"/>
      <c r="H13" s="9"/>
      <c r="I13" s="9"/>
    </row>
    <row r="14" spans="2:9" ht="15" customHeight="1">
      <c r="B14" s="9"/>
      <c r="C14" s="9"/>
      <c r="D14" s="9"/>
      <c r="E14" s="9"/>
      <c r="F14" s="9"/>
      <c r="G14" s="9"/>
      <c r="H14" s="9"/>
      <c r="I14" s="9"/>
    </row>
    <row r="16" spans="2:9" ht="19.5" customHeight="1">
      <c r="B16" s="10" t="s">
        <v>15</v>
      </c>
      <c r="C16" s="10"/>
      <c r="D16" s="10"/>
      <c r="E16" s="10"/>
      <c r="F16" s="10"/>
      <c r="G16" s="10"/>
      <c r="H16" s="10"/>
      <c r="I16" s="10"/>
    </row>
    <row r="17" spans="2:9" ht="15" customHeight="1">
      <c r="B17" s="8" t="s">
        <v>16</v>
      </c>
      <c r="C17" s="8"/>
      <c r="D17" s="8" t="s">
        <v>17</v>
      </c>
      <c r="E17" s="8"/>
      <c r="F17" s="8" t="s">
        <v>18</v>
      </c>
      <c r="G17" s="8"/>
      <c r="H17" s="8" t="s">
        <v>19</v>
      </c>
      <c r="I17" s="8"/>
    </row>
    <row r="18" spans="2:9" ht="30" customHeight="1">
      <c r="B18" s="7">
        <f ca="1">'מודל כלכלי'!$C$77</f>
        <v>1940000</v>
      </c>
      <c r="C18" s="7"/>
      <c r="D18" s="6">
        <f ca="1">'מודל כלכלי'!$C$79</f>
        <v>0.18711606640606782</v>
      </c>
      <c r="E18" s="6"/>
      <c r="F18" s="6">
        <f ca="1">'מודל כלכלי'!$C$80</f>
        <v>0.17819557785987855</v>
      </c>
      <c r="G18" s="6"/>
      <c r="H18" s="7">
        <f>'מודל כלכלי'!$C$45</f>
        <v>658950</v>
      </c>
      <c r="I18" s="7"/>
    </row>
    <row r="19" spans="2:9" ht="15" customHeight="1">
      <c r="B19" s="5" t="s">
        <v>20</v>
      </c>
      <c r="C19" s="5"/>
      <c r="D19" s="5" t="s">
        <v>21</v>
      </c>
      <c r="E19" s="5"/>
      <c r="F19" s="5" t="s">
        <v>22</v>
      </c>
      <c r="G19" s="5"/>
      <c r="H19" s="5" t="s">
        <v>23</v>
      </c>
      <c r="I19" s="5"/>
    </row>
    <row r="21" spans="2:9" ht="19.5" customHeight="1">
      <c r="B21" s="10" t="s">
        <v>24</v>
      </c>
      <c r="C21" s="10"/>
      <c r="D21" s="10"/>
      <c r="E21" s="10"/>
      <c r="F21" s="10"/>
      <c r="G21" s="10"/>
      <c r="H21" s="10"/>
      <c r="I21" s="10"/>
    </row>
    <row r="22" spans="2:9" ht="15" customHeight="1">
      <c r="B22" s="4" t="s">
        <v>25</v>
      </c>
      <c r="C22" s="4"/>
      <c r="D22" s="4"/>
      <c r="E22" s="4"/>
      <c r="F22" s="4"/>
      <c r="G22" s="4"/>
      <c r="H22" s="4"/>
      <c r="I22" s="4"/>
    </row>
    <row r="23" spans="2:9" ht="15" customHeight="1">
      <c r="B23" s="21" t="s">
        <v>26</v>
      </c>
      <c r="C23" s="21" t="s">
        <v>27</v>
      </c>
      <c r="D23" s="21" t="s">
        <v>28</v>
      </c>
      <c r="E23" s="21" t="s">
        <v>29</v>
      </c>
    </row>
    <row r="24" spans="2:9" ht="15" customHeight="1">
      <c r="B24" s="22" t="s">
        <v>30</v>
      </c>
      <c r="C24" s="23">
        <f ca="1">MIN(0,0+'מודל כלכלי'!$C$62)</f>
        <v>0</v>
      </c>
      <c r="D24" s="24">
        <f ca="1">IF('מודל כלכלי'!$C$62&gt;=0,'מודל כלכלי'!$C$62,0)</f>
        <v>4520000</v>
      </c>
      <c r="E24" s="25">
        <f ca="1">IF('מודל כלכלי'!$C$62&lt;0,-'מודל כלכלי'!$C$62,0)</f>
        <v>0</v>
      </c>
    </row>
    <row r="25" spans="2:9" ht="15" customHeight="1">
      <c r="B25" s="22" t="s">
        <v>31</v>
      </c>
      <c r="C25" s="23">
        <f ca="1">MIN('מודל כלכלי'!$C$62,'מודל כלכלי'!$C$62+'מודל כלכלי'!$C$65)</f>
        <v>3090000</v>
      </c>
      <c r="D25" s="24">
        <f>IF('מודל כלכלי'!$C$65&gt;=0,'מודל כלכלי'!$C$65,0)</f>
        <v>0</v>
      </c>
      <c r="E25" s="25">
        <f>IF('מודל כלכלי'!$C$65&lt;0,-'מודל כלכלי'!$C$65,0)</f>
        <v>1430000</v>
      </c>
    </row>
    <row r="26" spans="2:9" ht="15" customHeight="1">
      <c r="B26" s="22" t="s">
        <v>32</v>
      </c>
      <c r="C26" s="23">
        <f ca="1">MIN('מודל כלכלי'!$C$62+'מודל כלכלי'!$C$65,'מודל כלכלי'!$C$62+'מודל כלכלי'!$C$65+'מודל כלכלי'!$C$71)</f>
        <v>3018000</v>
      </c>
      <c r="D26" s="24">
        <f ca="1">IF('מודל כלכלי'!$C$71&gt;=0,'מודל כלכלי'!$C$71,0)</f>
        <v>0</v>
      </c>
      <c r="E26" s="25">
        <f ca="1">IF('מודל כלכלי'!$C$71&lt;0,-'מודל כלכלי'!$C$71,0)</f>
        <v>72000</v>
      </c>
    </row>
    <row r="27" spans="2:9" ht="15" customHeight="1">
      <c r="B27" s="22" t="s">
        <v>33</v>
      </c>
      <c r="C27" s="23">
        <f ca="1">MIN('מודל כלכלי'!$C$62+'מודל כלכלי'!$C$65+'מודל כלכלי'!$C$71,'מודל כלכלי'!$C$62+'מודל כלכלי'!$C$65+'מודל כלכלי'!$C$71+'מודל כלכלי'!$C$56)</f>
        <v>2594000</v>
      </c>
      <c r="D27" s="24">
        <f>IF('מודל כלכלי'!$C$56&gt;=0,'מודל כלכלי'!$C$56,0)</f>
        <v>0</v>
      </c>
      <c r="E27" s="25">
        <f>IF('מודל כלכלי'!$C$56&lt;0,-'מודל כלכלי'!$C$56,0)</f>
        <v>424000</v>
      </c>
    </row>
    <row r="28" spans="2:9" ht="15" customHeight="1">
      <c r="B28" s="22" t="s">
        <v>34</v>
      </c>
      <c r="C28" s="23">
        <f ca="1">MIN('מודל כלכלי'!$C$62+'מודל כלכלי'!$C$65+'מודל כלכלי'!$C$71+'מודל כלכלי'!$C$56,'מודל כלכלי'!$C$62+'מודל כלכלי'!$C$65+'מודל כלכלי'!$C$71+'מודל כלכלי'!$C$56+'מודל כלכלי'!$C$76)</f>
        <v>1935050</v>
      </c>
      <c r="D28" s="24">
        <f>IF('מודל כלכלי'!$C$76&gt;=0,'מודל כלכלי'!$C$76,0)</f>
        <v>0</v>
      </c>
      <c r="E28" s="25">
        <f>IF('מודל כלכלי'!$C$76&lt;0,-'מודל כלכלי'!$C$76,0)</f>
        <v>658950</v>
      </c>
    </row>
    <row r="29" spans="2:9" ht="15" customHeight="1">
      <c r="B29" s="22" t="s">
        <v>35</v>
      </c>
      <c r="C29" s="23">
        <f ca="1">MIN('מודל כלכלי'!$C$62+'מודל כלכלי'!$C$65+'מודל כלכלי'!$C$71+'מודל כלכלי'!$C$56+'מודל כלכלי'!$C$76,'מודל כלכלי'!$C$62+'מודל כלכלי'!$C$65+'מודל כלכלי'!$C$71+'מודל כלכלי'!$C$56+'מודל כלכלי'!$C$76+'מודל כלכלי'!$C$73)</f>
        <v>1935050</v>
      </c>
      <c r="D29" s="24">
        <f ca="1">IF('מודל כלכלי'!$C$73&gt;=0,'מודל כלכלי'!$C$73,0)</f>
        <v>0</v>
      </c>
      <c r="E29" s="25">
        <f ca="1">IF('מודל כלכלי'!$C$73&lt;0,-'מודל כלכלי'!$C$73,0)</f>
        <v>0</v>
      </c>
    </row>
    <row r="30" spans="2:9" ht="15" customHeight="1">
      <c r="B30" s="15" t="s">
        <v>36</v>
      </c>
      <c r="C30" s="23">
        <v>0</v>
      </c>
      <c r="D30" s="26">
        <f ca="1">IF('מודל כלכלי'!$C$77&gt;=0,'מודל כלכלי'!$C$77,0)</f>
        <v>1940000</v>
      </c>
      <c r="E30" s="26">
        <f ca="1">IF('מודל כלכלי'!$C$77&lt;0,-'מודל כלכלי'!$C$77,0)</f>
        <v>0</v>
      </c>
    </row>
    <row r="52" spans="2:9" ht="19.5" customHeight="1">
      <c r="B52" s="10" t="s">
        <v>37</v>
      </c>
      <c r="C52" s="10"/>
      <c r="D52" s="10"/>
      <c r="E52" s="10"/>
      <c r="F52" s="10"/>
      <c r="G52" s="10"/>
      <c r="H52" s="10"/>
      <c r="I52" s="10"/>
    </row>
    <row r="53" spans="2:9" ht="15" customHeight="1">
      <c r="B53" s="4" t="s">
        <v>38</v>
      </c>
      <c r="C53" s="4"/>
      <c r="D53" s="4"/>
      <c r="E53" s="4"/>
      <c r="F53" s="4"/>
      <c r="G53" s="4"/>
      <c r="H53" s="4"/>
      <c r="I53" s="4"/>
    </row>
    <row r="74" spans="2:9" ht="15" customHeight="1">
      <c r="B74" s="3" t="s">
        <v>39</v>
      </c>
      <c r="C74" s="3"/>
      <c r="D74" s="3"/>
      <c r="E74" s="3"/>
      <c r="F74" s="3"/>
      <c r="G74" s="3"/>
      <c r="H74" s="3"/>
      <c r="I74" s="3"/>
    </row>
    <row r="75" spans="2:9" ht="15" customHeight="1">
      <c r="B75" s="3"/>
      <c r="C75" s="3"/>
      <c r="D75" s="3"/>
      <c r="E75" s="3"/>
      <c r="F75" s="3"/>
      <c r="G75" s="3"/>
      <c r="H75" s="3"/>
      <c r="I75" s="3"/>
    </row>
    <row r="76" spans="2:9" ht="15" customHeight="1">
      <c r="B76" s="3"/>
      <c r="C76" s="3"/>
      <c r="D76" s="3"/>
      <c r="E76" s="3"/>
      <c r="F76" s="3"/>
      <c r="G76" s="3"/>
      <c r="H76" s="3"/>
      <c r="I76" s="3"/>
    </row>
  </sheetData>
  <mergeCells count="23">
    <mergeCell ref="B21:I21"/>
    <mergeCell ref="B22:I22"/>
    <mergeCell ref="B52:I52"/>
    <mergeCell ref="B53:I53"/>
    <mergeCell ref="B74:I76"/>
    <mergeCell ref="B18:C18"/>
    <mergeCell ref="D18:E18"/>
    <mergeCell ref="F18:G18"/>
    <mergeCell ref="H18:I18"/>
    <mergeCell ref="B19:C19"/>
    <mergeCell ref="D19:E19"/>
    <mergeCell ref="F19:G19"/>
    <mergeCell ref="H19:I19"/>
    <mergeCell ref="B16:I16"/>
    <mergeCell ref="B17:C17"/>
    <mergeCell ref="D17:E17"/>
    <mergeCell ref="F17:G17"/>
    <mergeCell ref="H17:I17"/>
    <mergeCell ref="B1:I1"/>
    <mergeCell ref="B2:I2"/>
    <mergeCell ref="B6:I6"/>
    <mergeCell ref="B11:I11"/>
    <mergeCell ref="B12:I14"/>
  </mergeCells>
  <hyperlinks>
    <hyperlink ref="C4" r:id="rId1" location="'הנחות%20עסקה'!A1" xr:uid="{00000000-0004-0000-0000-000000000000}"/>
    <hyperlink ref="D4" r:id="rId2" location="'מודל%20כלכלי'!A1" xr:uid="{00000000-0004-0000-0000-000001000000}"/>
    <hyperlink ref="E4" r:id="rId3" location="'חישובים'!A1" xr:uid="{00000000-0004-0000-0000-000002000000}"/>
    <hyperlink ref="F4" r:id="rId4" location="'היוון'!A1" xr:uid="{00000000-0004-0000-0000-000003000000}"/>
    <hyperlink ref="G4" r:id="rId5" location="'תזרים%20ו-IRR'!A1" xr:uid="{00000000-0004-0000-0000-000004000000}"/>
    <hyperlink ref="H4" r:id="rId6" location="'רגישות%20ותרחישים'!A1" xr:uid="{00000000-0004-0000-0000-000005000000}"/>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B1:J87"/>
  <sheetViews>
    <sheetView showGridLines="0" rightToLeft="1" zoomScaleNormal="100" workbookViewId="0">
      <pane xSplit="2" ySplit="3" topLeftCell="C4" activePane="bottomRight" state="frozen"/>
      <selection pane="topRight" activeCell="C1" sqref="C1"/>
      <selection pane="bottomLeft" activeCell="A4" sqref="A4"/>
      <selection pane="bottomRight"/>
    </sheetView>
  </sheetViews>
  <sheetFormatPr defaultColWidth="8.6640625" defaultRowHeight="14.4"/>
  <cols>
    <col min="1" max="1" width="2.44140625" customWidth="1"/>
    <col min="2" max="2" width="32" customWidth="1"/>
    <col min="3" max="3" width="16" customWidth="1"/>
    <col min="4" max="6" width="15" customWidth="1"/>
    <col min="7" max="7" width="34" customWidth="1"/>
  </cols>
  <sheetData>
    <row r="1" spans="2:9" ht="33.75" customHeight="1">
      <c r="B1" s="2" t="s">
        <v>40</v>
      </c>
      <c r="C1" s="2"/>
      <c r="D1" s="2"/>
      <c r="E1" s="2"/>
      <c r="F1" s="2"/>
      <c r="G1" s="2"/>
      <c r="I1" s="27" t="s">
        <v>41</v>
      </c>
    </row>
    <row r="2" spans="2:9" ht="27.75" customHeight="1">
      <c r="B2" s="1" t="s">
        <v>42</v>
      </c>
      <c r="C2" s="1"/>
      <c r="D2" s="1"/>
      <c r="E2" s="1"/>
      <c r="F2" s="1"/>
      <c r="G2" s="1"/>
    </row>
    <row r="4" spans="2:9" ht="19.5" customHeight="1">
      <c r="B4" s="10" t="s">
        <v>43</v>
      </c>
      <c r="C4" s="10"/>
      <c r="D4" s="10"/>
      <c r="E4" s="10"/>
      <c r="F4" s="10"/>
      <c r="G4" s="10"/>
    </row>
    <row r="5" spans="2:9" ht="15" customHeight="1">
      <c r="B5" s="22" t="s">
        <v>8</v>
      </c>
      <c r="C5" s="28" t="s">
        <v>44</v>
      </c>
    </row>
    <row r="6" spans="2:9" ht="15" customHeight="1">
      <c r="B6" s="22" t="s">
        <v>45</v>
      </c>
      <c r="C6" s="28" t="s">
        <v>46</v>
      </c>
    </row>
    <row r="7" spans="2:9" ht="15" customHeight="1">
      <c r="B7" s="22" t="s">
        <v>47</v>
      </c>
      <c r="C7" s="28" t="s">
        <v>48</v>
      </c>
    </row>
    <row r="8" spans="2:9" ht="15" customHeight="1">
      <c r="B8" s="22" t="s">
        <v>49</v>
      </c>
      <c r="C8" s="28" t="s">
        <v>50</v>
      </c>
    </row>
    <row r="9" spans="2:9" ht="15" customHeight="1">
      <c r="B9" s="22" t="s">
        <v>51</v>
      </c>
      <c r="C9" s="28" t="s">
        <v>52</v>
      </c>
    </row>
    <row r="10" spans="2:9" ht="15" customHeight="1">
      <c r="B10" s="22" t="s">
        <v>53</v>
      </c>
      <c r="C10" s="28" t="s">
        <v>54</v>
      </c>
    </row>
    <row r="11" spans="2:9" ht="15" customHeight="1">
      <c r="B11" s="22" t="s">
        <v>55</v>
      </c>
      <c r="C11" s="28" t="s">
        <v>56</v>
      </c>
    </row>
    <row r="13" spans="2:9" ht="19.5" customHeight="1">
      <c r="B13" s="10" t="s">
        <v>57</v>
      </c>
      <c r="C13" s="10"/>
      <c r="D13" s="10"/>
      <c r="E13" s="10"/>
      <c r="F13" s="10"/>
      <c r="G13" s="10"/>
    </row>
    <row r="14" spans="2:9" ht="15" customHeight="1">
      <c r="B14" s="22" t="s">
        <v>58</v>
      </c>
      <c r="C14" s="28">
        <v>6155</v>
      </c>
    </row>
    <row r="15" spans="2:9" ht="15" customHeight="1">
      <c r="B15" s="22" t="s">
        <v>59</v>
      </c>
      <c r="C15" s="28" t="s">
        <v>46</v>
      </c>
    </row>
    <row r="16" spans="2:9" ht="15" customHeight="1">
      <c r="B16" s="22" t="s">
        <v>60</v>
      </c>
      <c r="C16" s="28" t="s">
        <v>61</v>
      </c>
      <c r="D16" s="29" t="s">
        <v>62</v>
      </c>
    </row>
    <row r="17" spans="2:7" ht="15" customHeight="1">
      <c r="B17" s="22" t="s">
        <v>63</v>
      </c>
      <c r="C17" s="28">
        <v>70</v>
      </c>
    </row>
    <row r="18" spans="2:7" ht="15" customHeight="1">
      <c r="B18" s="22" t="s">
        <v>64</v>
      </c>
      <c r="C18" s="28">
        <v>60</v>
      </c>
    </row>
    <row r="19" spans="2:7" ht="15" customHeight="1">
      <c r="B19" s="22" t="s">
        <v>65</v>
      </c>
      <c r="C19" s="28" t="s">
        <v>46</v>
      </c>
    </row>
    <row r="20" spans="2:7" ht="15" customHeight="1">
      <c r="B20" s="22" t="s">
        <v>66</v>
      </c>
      <c r="C20" s="28">
        <v>72</v>
      </c>
      <c r="D20" s="29" t="s">
        <v>67</v>
      </c>
    </row>
    <row r="22" spans="2:7" ht="19.5" customHeight="1">
      <c r="B22" s="10" t="s">
        <v>68</v>
      </c>
      <c r="C22" s="10"/>
      <c r="D22" s="10"/>
      <c r="E22" s="10"/>
      <c r="F22" s="10"/>
      <c r="G22" s="10"/>
    </row>
    <row r="23" spans="2:7" ht="15" customHeight="1">
      <c r="B23" s="22" t="s">
        <v>69</v>
      </c>
      <c r="C23" s="30">
        <v>2400000</v>
      </c>
      <c r="D23" s="29" t="s">
        <v>70</v>
      </c>
    </row>
    <row r="24" spans="2:7" ht="15" customHeight="1">
      <c r="B24" s="22" t="s">
        <v>71</v>
      </c>
      <c r="C24" s="31">
        <v>175000</v>
      </c>
      <c r="D24" s="29" t="s">
        <v>72</v>
      </c>
    </row>
    <row r="25" spans="2:7" ht="15" customHeight="1">
      <c r="B25" s="15" t="s">
        <v>73</v>
      </c>
      <c r="C25" s="32">
        <f>C23-C24</f>
        <v>2225000</v>
      </c>
      <c r="D25" s="29" t="s">
        <v>74</v>
      </c>
    </row>
    <row r="26" spans="2:7" ht="15" customHeight="1">
      <c r="B26" s="22" t="s">
        <v>75</v>
      </c>
      <c r="C26" s="33">
        <v>1</v>
      </c>
    </row>
    <row r="27" spans="2:7" ht="15" customHeight="1">
      <c r="B27" s="22" t="s">
        <v>76</v>
      </c>
      <c r="C27" s="34">
        <v>0.75</v>
      </c>
    </row>
    <row r="28" spans="2:7" ht="15" customHeight="1">
      <c r="B28" s="22" t="s">
        <v>77</v>
      </c>
      <c r="C28" s="35">
        <v>4.9000000000000002E-2</v>
      </c>
    </row>
    <row r="29" spans="2:7" ht="15" customHeight="1">
      <c r="B29" s="22" t="s">
        <v>78</v>
      </c>
      <c r="C29" s="36">
        <v>30</v>
      </c>
    </row>
    <row r="31" spans="2:7" ht="15" customHeight="1">
      <c r="B31" s="4" t="s">
        <v>79</v>
      </c>
      <c r="C31" s="4"/>
      <c r="D31" s="4"/>
      <c r="E31" s="4"/>
      <c r="F31" s="4"/>
      <c r="G31" s="4"/>
    </row>
    <row r="32" spans="2:7" ht="15" customHeight="1">
      <c r="C32" s="21" t="s">
        <v>80</v>
      </c>
      <c r="D32" s="21" t="s">
        <v>81</v>
      </c>
      <c r="E32" s="21" t="s">
        <v>82</v>
      </c>
      <c r="F32" s="21" t="s">
        <v>83</v>
      </c>
    </row>
    <row r="33" spans="2:7" ht="15" customHeight="1">
      <c r="B33" s="22" t="s">
        <v>84</v>
      </c>
      <c r="C33" s="36">
        <v>300</v>
      </c>
      <c r="D33" s="36">
        <v>30</v>
      </c>
      <c r="E33" s="35">
        <v>4.8000000000000001E-2</v>
      </c>
    </row>
    <row r="34" spans="2:7" ht="15" customHeight="1">
      <c r="B34" s="22" t="s">
        <v>85</v>
      </c>
      <c r="C34" s="36">
        <v>200</v>
      </c>
      <c r="D34" s="36">
        <v>30</v>
      </c>
      <c r="E34" s="35">
        <v>5.2999999999999999E-2</v>
      </c>
    </row>
    <row r="35" spans="2:7" ht="15" customHeight="1">
      <c r="B35" s="22" t="s">
        <v>86</v>
      </c>
      <c r="C35" s="36">
        <v>260</v>
      </c>
      <c r="D35" s="36">
        <v>30</v>
      </c>
      <c r="E35" s="35">
        <v>4.9000000000000002E-2</v>
      </c>
    </row>
    <row r="36" spans="2:7" ht="15" customHeight="1">
      <c r="B36" s="22" t="s">
        <v>87</v>
      </c>
      <c r="C36" s="36">
        <v>140</v>
      </c>
      <c r="D36" s="36">
        <v>30</v>
      </c>
      <c r="E36" s="35">
        <v>2.7E-2</v>
      </c>
    </row>
    <row r="38" spans="2:7" ht="19.5" customHeight="1">
      <c r="B38" s="10" t="s">
        <v>88</v>
      </c>
      <c r="C38" s="10"/>
      <c r="D38" s="10"/>
      <c r="E38" s="10"/>
      <c r="F38" s="10"/>
      <c r="G38" s="10"/>
    </row>
    <row r="39" spans="2:7" ht="15" customHeight="1">
      <c r="B39" s="22" t="s">
        <v>89</v>
      </c>
      <c r="C39" s="34">
        <v>3.1280000000000002E-2</v>
      </c>
    </row>
    <row r="40" spans="2:7" ht="15" customHeight="1">
      <c r="B40" s="22" t="s">
        <v>90</v>
      </c>
      <c r="C40" s="33">
        <v>0.03</v>
      </c>
      <c r="D40" s="29" t="s">
        <v>91</v>
      </c>
    </row>
    <row r="41" spans="2:7" ht="15" customHeight="1">
      <c r="B41" s="22" t="s">
        <v>92</v>
      </c>
      <c r="C41" s="37">
        <v>300</v>
      </c>
      <c r="D41" s="29" t="s">
        <v>93</v>
      </c>
    </row>
    <row r="42" spans="2:7" ht="15" customHeight="1">
      <c r="B42" s="22" t="s">
        <v>94</v>
      </c>
      <c r="C42" s="36">
        <v>30</v>
      </c>
      <c r="D42" s="29" t="s">
        <v>95</v>
      </c>
    </row>
    <row r="43" spans="2:7" ht="15" customHeight="1">
      <c r="B43" s="22" t="s">
        <v>96</v>
      </c>
      <c r="C43" s="38">
        <v>2</v>
      </c>
    </row>
    <row r="45" spans="2:7" ht="19.5" customHeight="1">
      <c r="B45" s="10" t="s">
        <v>97</v>
      </c>
      <c r="C45" s="10"/>
      <c r="D45" s="10"/>
      <c r="E45" s="10"/>
      <c r="F45" s="10"/>
      <c r="G45" s="10"/>
    </row>
    <row r="46" spans="2:7" ht="15" customHeight="1">
      <c r="B46" s="22" t="s">
        <v>98</v>
      </c>
      <c r="C46" s="34">
        <v>0.04</v>
      </c>
      <c r="D46" s="29" t="s">
        <v>99</v>
      </c>
    </row>
    <row r="47" spans="2:7" ht="15" customHeight="1">
      <c r="B47" s="22" t="s">
        <v>100</v>
      </c>
      <c r="C47" s="39">
        <v>8</v>
      </c>
      <c r="D47" s="29" t="s">
        <v>101</v>
      </c>
    </row>
    <row r="48" spans="2:7" ht="15" customHeight="1">
      <c r="B48" s="22" t="s">
        <v>102</v>
      </c>
      <c r="C48" s="40" t="s">
        <v>103</v>
      </c>
      <c r="D48" s="29" t="s">
        <v>104</v>
      </c>
    </row>
    <row r="49" spans="2:7" ht="15" customHeight="1">
      <c r="B49" s="22" t="s">
        <v>105</v>
      </c>
      <c r="C49" s="41">
        <v>72</v>
      </c>
    </row>
    <row r="50" spans="2:7" ht="15" customHeight="1">
      <c r="B50" s="22" t="s">
        <v>106</v>
      </c>
      <c r="C50" s="36">
        <v>18</v>
      </c>
      <c r="D50" s="29" t="s">
        <v>107</v>
      </c>
    </row>
    <row r="51" spans="2:7" ht="15" customHeight="1">
      <c r="B51" s="22" t="s">
        <v>108</v>
      </c>
      <c r="C51" s="41">
        <v>12</v>
      </c>
      <c r="D51" s="29" t="s">
        <v>109</v>
      </c>
    </row>
    <row r="52" spans="2:7" ht="15" customHeight="1">
      <c r="B52" s="22" t="s">
        <v>110</v>
      </c>
      <c r="C52" s="42">
        <v>42000</v>
      </c>
    </row>
    <row r="54" spans="2:7" ht="19.5" customHeight="1">
      <c r="B54" s="10" t="s">
        <v>111</v>
      </c>
      <c r="C54" s="10"/>
      <c r="D54" s="10"/>
      <c r="E54" s="10"/>
      <c r="F54" s="10"/>
      <c r="G54" s="10"/>
    </row>
    <row r="55" spans="2:7" ht="15" customHeight="1">
      <c r="B55" s="22" t="s">
        <v>112</v>
      </c>
      <c r="C55" s="33">
        <v>0.18</v>
      </c>
    </row>
    <row r="56" spans="2:7" ht="15" customHeight="1">
      <c r="B56" s="22" t="s">
        <v>113</v>
      </c>
      <c r="C56" s="35">
        <v>5.8999999999999999E-3</v>
      </c>
    </row>
    <row r="57" spans="2:7" ht="15" customHeight="1">
      <c r="B57" s="22" t="s">
        <v>114</v>
      </c>
      <c r="C57" s="35">
        <v>2.3599999999999999E-2</v>
      </c>
    </row>
    <row r="58" spans="2:7" ht="15" customHeight="1">
      <c r="B58" s="22" t="s">
        <v>115</v>
      </c>
      <c r="C58" s="37">
        <v>9000</v>
      </c>
    </row>
    <row r="59" spans="2:7" ht="15" customHeight="1">
      <c r="B59" s="22" t="s">
        <v>116</v>
      </c>
      <c r="C59" s="37">
        <v>3800</v>
      </c>
    </row>
    <row r="60" spans="2:7" ht="15" customHeight="1">
      <c r="B60" s="22" t="s">
        <v>117</v>
      </c>
      <c r="C60" s="37">
        <v>15000</v>
      </c>
    </row>
    <row r="61" spans="2:7" ht="15" customHeight="1">
      <c r="B61" s="22" t="s">
        <v>118</v>
      </c>
      <c r="C61" s="35">
        <v>5.8999999999999999E-3</v>
      </c>
    </row>
    <row r="62" spans="2:7" ht="15" customHeight="1">
      <c r="B62" s="22" t="s">
        <v>119</v>
      </c>
      <c r="C62" s="35">
        <v>0.01</v>
      </c>
    </row>
    <row r="63" spans="2:7" ht="15" customHeight="1">
      <c r="B63" s="22" t="s">
        <v>120</v>
      </c>
      <c r="C63" s="37">
        <v>0</v>
      </c>
      <c r="D63" s="29" t="s">
        <v>121</v>
      </c>
    </row>
    <row r="65" spans="2:10" ht="19.5" customHeight="1">
      <c r="B65" s="10" t="s">
        <v>122</v>
      </c>
      <c r="C65" s="10"/>
      <c r="D65" s="10"/>
      <c r="E65" s="10"/>
      <c r="F65" s="10"/>
      <c r="G65" s="10"/>
    </row>
    <row r="66" spans="2:10" ht="15" customHeight="1">
      <c r="B66" s="22" t="s">
        <v>123</v>
      </c>
      <c r="C66" s="28" t="s">
        <v>124</v>
      </c>
    </row>
    <row r="68" spans="2:10" ht="19.5" customHeight="1">
      <c r="B68" s="10" t="s">
        <v>125</v>
      </c>
      <c r="C68" s="10"/>
      <c r="D68" s="10"/>
      <c r="E68" s="10"/>
      <c r="F68" s="10"/>
      <c r="G68" s="10"/>
    </row>
    <row r="69" spans="2:10" ht="15" customHeight="1">
      <c r="B69" s="4" t="s">
        <v>126</v>
      </c>
      <c r="C69" s="4"/>
      <c r="D69" s="4"/>
      <c r="E69" s="4"/>
      <c r="F69" s="4"/>
      <c r="G69" s="4"/>
    </row>
    <row r="70" spans="2:10" ht="15" customHeight="1">
      <c r="B70" s="22" t="s">
        <v>127</v>
      </c>
      <c r="D70" s="43">
        <f ca="1">TODAY()+30</f>
        <v>46284</v>
      </c>
      <c r="I70" s="38">
        <v>30.4</v>
      </c>
      <c r="J70" s="29" t="s">
        <v>128</v>
      </c>
    </row>
    <row r="71" spans="2:10" ht="15" customHeight="1">
      <c r="B71" s="22" t="s">
        <v>129</v>
      </c>
      <c r="D71" s="36">
        <v>12</v>
      </c>
      <c r="E71" s="29" t="s">
        <v>130</v>
      </c>
    </row>
    <row r="72" spans="2:10" ht="15" customHeight="1">
      <c r="B72" s="22" t="s">
        <v>131</v>
      </c>
      <c r="D72" s="36">
        <v>24</v>
      </c>
      <c r="E72" s="29" t="s">
        <v>132</v>
      </c>
    </row>
    <row r="73" spans="2:10" ht="15" customHeight="1">
      <c r="B73" s="15" t="s">
        <v>133</v>
      </c>
      <c r="D73" s="44">
        <f ca="1">D70+(C47*365)+(D71*$I$70)</f>
        <v>49568.800000000003</v>
      </c>
    </row>
    <row r="74" spans="2:10" ht="15" customHeight="1">
      <c r="B74" s="22" t="s">
        <v>134</v>
      </c>
      <c r="D74" s="45">
        <f ca="1">D73-(D72*$I$70)</f>
        <v>48839.200000000004</v>
      </c>
    </row>
    <row r="76" spans="2:10" ht="19.5" customHeight="1">
      <c r="B76" s="10" t="s">
        <v>135</v>
      </c>
      <c r="C76" s="10"/>
      <c r="D76" s="10"/>
      <c r="E76" s="10"/>
      <c r="F76" s="10"/>
      <c r="G76" s="10"/>
    </row>
    <row r="77" spans="2:10" ht="15" customHeight="1">
      <c r="B77" s="22" t="s">
        <v>136</v>
      </c>
      <c r="D77" s="43">
        <f ca="1">D70+365*2</f>
        <v>47014</v>
      </c>
      <c r="E77" s="29" t="s">
        <v>137</v>
      </c>
    </row>
    <row r="78" spans="2:10" ht="15" customHeight="1">
      <c r="B78" s="22" t="s">
        <v>138</v>
      </c>
      <c r="C78" s="36">
        <v>18</v>
      </c>
      <c r="D78" s="45">
        <f ca="1">D77+(C78*$I$70)</f>
        <v>47561.2</v>
      </c>
      <c r="E78" s="29" t="s">
        <v>139</v>
      </c>
    </row>
    <row r="79" spans="2:10" ht="15" customHeight="1">
      <c r="B79" s="22" t="s">
        <v>140</v>
      </c>
      <c r="C79" s="36">
        <v>6</v>
      </c>
      <c r="D79" s="45">
        <f ca="1">D78+(C79*$I$70)</f>
        <v>47743.6</v>
      </c>
      <c r="E79" s="29" t="s">
        <v>141</v>
      </c>
    </row>
    <row r="80" spans="2:10" ht="15" customHeight="1">
      <c r="B80" s="22" t="s">
        <v>142</v>
      </c>
      <c r="C80" s="36">
        <v>24</v>
      </c>
      <c r="D80" s="45">
        <f ca="1">D79+(C80*$I$70)</f>
        <v>48473.2</v>
      </c>
      <c r="E80" s="29" t="s">
        <v>143</v>
      </c>
    </row>
    <row r="81" spans="2:5" ht="15" customHeight="1">
      <c r="B81" s="22" t="s">
        <v>144</v>
      </c>
      <c r="C81" s="36">
        <v>3</v>
      </c>
      <c r="D81" s="45">
        <f ca="1">D80+(C81*$I$70)</f>
        <v>48564.399999999994</v>
      </c>
    </row>
    <row r="82" spans="2:5" ht="15" customHeight="1">
      <c r="B82" s="22" t="s">
        <v>145</v>
      </c>
      <c r="C82" s="36">
        <v>3</v>
      </c>
      <c r="D82" s="45">
        <f ca="1">D81+(C82*$I$70)</f>
        <v>48655.599999999991</v>
      </c>
    </row>
    <row r="83" spans="2:5" ht="15" customHeight="1">
      <c r="B83" s="22" t="s">
        <v>146</v>
      </c>
      <c r="C83" s="36">
        <v>2</v>
      </c>
      <c r="D83" s="45">
        <f ca="1">D84-(C83*$I$70)</f>
        <v>48594.799999999996</v>
      </c>
      <c r="E83" s="29" t="s">
        <v>147</v>
      </c>
    </row>
    <row r="84" spans="2:5" ht="15" customHeight="1">
      <c r="B84" s="22" t="s">
        <v>148</v>
      </c>
      <c r="C84" s="36">
        <v>6</v>
      </c>
      <c r="D84" s="45">
        <f ca="1">D80+(C84*$I$70)</f>
        <v>48655.6</v>
      </c>
      <c r="E84" s="29" t="s">
        <v>149</v>
      </c>
    </row>
    <row r="85" spans="2:5" ht="15" customHeight="1">
      <c r="B85" s="22" t="s">
        <v>150</v>
      </c>
      <c r="C85" s="36">
        <v>3</v>
      </c>
      <c r="D85" s="45">
        <f ca="1">D84+(C85*$I$70)</f>
        <v>48746.799999999996</v>
      </c>
      <c r="E85" s="29" t="s">
        <v>151</v>
      </c>
    </row>
    <row r="86" spans="2:5" ht="15" customHeight="1">
      <c r="B86" s="22" t="s">
        <v>152</v>
      </c>
      <c r="C86" s="36">
        <v>48</v>
      </c>
      <c r="D86" s="45">
        <f ca="1">D85+(C86*$I$70)</f>
        <v>50205.999999999993</v>
      </c>
      <c r="E86" s="29" t="s">
        <v>153</v>
      </c>
    </row>
    <row r="87" spans="2:5" ht="15" customHeight="1">
      <c r="B87" s="22" t="s">
        <v>154</v>
      </c>
      <c r="D87" s="46">
        <f ca="1">(D86-D70)/365</f>
        <v>10.745205479452036</v>
      </c>
      <c r="E87" s="29" t="s">
        <v>155</v>
      </c>
    </row>
  </sheetData>
  <sheetProtection algorithmName="SHA-512" hashValue="Y/g0xtCeSzbfsQKFoq6fvxd4Q21EiGSWS4FQurBSQkGYkPSg6G3JQ5xqdxSY85HkE9ZTCuRPvmJNX6E2ruQaew==" saltValue="Sd5v1ata3kQvKzIMHJNXYA==" spinCount="100000" sheet="1" objects="1" scenarios="1"/>
  <mergeCells count="13">
    <mergeCell ref="B68:G68"/>
    <mergeCell ref="B69:G69"/>
    <mergeCell ref="B76:G76"/>
    <mergeCell ref="B31:G31"/>
    <mergeCell ref="B38:G38"/>
    <mergeCell ref="B45:G45"/>
    <mergeCell ref="B54:G54"/>
    <mergeCell ref="B65:G65"/>
    <mergeCell ref="B1:G1"/>
    <mergeCell ref="B2:G2"/>
    <mergeCell ref="B4:G4"/>
    <mergeCell ref="B13:G13"/>
    <mergeCell ref="B22:G22"/>
  </mergeCells>
  <dataValidations count="2">
    <dataValidation type="list" sqref="C48" xr:uid="{00000000-0002-0000-0100-000000000000}">
      <formula1>"פליפ,עד אכלוס,אין פרויקט"</formula1>
      <formula2>0</formula2>
    </dataValidation>
    <dataValidation type="list" sqref="C66" xr:uid="{00000000-0002-0000-0100-000001000000}">
      <formula1>"דירה יחידה (פטורה במדרגה ראשונה),דירה נוספת / משקיע"</formula1>
      <formula2>0</formula2>
    </dataValidation>
  </dataValidations>
  <hyperlinks>
    <hyperlink ref="I1" r:id="rId1" location="'תמצית%20עסקה'!A1" xr:uid="{00000000-0004-0000-0100-000000000000}"/>
  </hyperlinks>
  <pageMargins left="0.75" right="0.75" top="1" bottom="1" header="0.511811023622047" footer="0.511811023622047"/>
  <pageSetup paperSize="9" orientation="portrait" horizontalDpi="300" verticalDpi="30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F4E78"/>
  </sheetPr>
  <dimension ref="B1:J88"/>
  <sheetViews>
    <sheetView showGridLines="0" rightToLeft="1" tabSelected="1" zoomScaleNormal="100" workbookViewId="0">
      <pane xSplit="2" ySplit="3" topLeftCell="C4" activePane="bottomRight" state="frozen"/>
      <selection pane="topRight" activeCell="C1" sqref="C1"/>
      <selection pane="bottomLeft" activeCell="A4" sqref="A4"/>
      <selection pane="bottomRight"/>
    </sheetView>
  </sheetViews>
  <sheetFormatPr defaultColWidth="8.6640625" defaultRowHeight="14.4"/>
  <cols>
    <col min="1" max="1" width="2.44140625" customWidth="1"/>
    <col min="2" max="2" width="40" customWidth="1"/>
    <col min="3" max="3" width="16" customWidth="1"/>
    <col min="4" max="6" width="15" customWidth="1"/>
    <col min="7" max="7" width="30" customWidth="1"/>
    <col min="8" max="9" width="3" customWidth="1"/>
    <col min="10" max="10" width="32" customWidth="1"/>
  </cols>
  <sheetData>
    <row r="1" spans="2:10" ht="33.75" customHeight="1">
      <c r="B1" s="2" t="s">
        <v>156</v>
      </c>
      <c r="C1" s="2"/>
      <c r="D1" s="2"/>
      <c r="E1" s="2"/>
      <c r="F1" s="2"/>
      <c r="G1" s="2"/>
      <c r="H1" s="27" t="s">
        <v>41</v>
      </c>
    </row>
    <row r="2" spans="2:10" ht="15" customHeight="1">
      <c r="B2" s="11" t="str">
        <f ca="1">CONCATENATE("מודל כלכלי לבחינת עסקת דירה במתחם התחדשות עירונית - כל הנתונים נשלפים מגיליון 'הנחות עסקה'  |  הופק: ", TEXT(TODAY(),"DD/MM/YYYY"))</f>
        <v>מודל כלכלי לבחינת עסקת דירה במתחם התחדשות עירונית - כל הנתונים נשלפים מגיליון 'הנחות עסקה'  |  הופק: 20/08/2026</v>
      </c>
      <c r="C2" s="11"/>
      <c r="D2" s="11"/>
      <c r="E2" s="11"/>
      <c r="F2" s="11"/>
      <c r="G2" s="11"/>
    </row>
    <row r="3" spans="2:10" ht="15" customHeight="1">
      <c r="J3" s="47" t="s">
        <v>157</v>
      </c>
    </row>
    <row r="4" spans="2:10" ht="19.5" customHeight="1">
      <c r="B4" s="10" t="s">
        <v>158</v>
      </c>
      <c r="C4" s="10"/>
      <c r="D4" s="10"/>
      <c r="E4" s="10"/>
      <c r="F4" s="10"/>
      <c r="G4" s="10"/>
      <c r="J4" s="48" t="s">
        <v>159</v>
      </c>
    </row>
    <row r="5" spans="2:10" ht="15" customHeight="1">
      <c r="B5" s="22" t="s">
        <v>8</v>
      </c>
      <c r="C5" s="18" t="str">
        <f>'הנחות עסקה'!$C$5</f>
        <v>כצנלסון, גבעתיים</v>
      </c>
      <c r="J5" s="49" t="s">
        <v>160</v>
      </c>
    </row>
    <row r="6" spans="2:10" ht="15" customHeight="1">
      <c r="B6" s="22" t="s">
        <v>47</v>
      </c>
      <c r="C6" s="18" t="str">
        <f>'הנחות עסקה'!$C$7</f>
        <v>יזם מוביל מהחברות הגדולות במשק</v>
      </c>
      <c r="J6" s="50" t="s">
        <v>161</v>
      </c>
    </row>
    <row r="7" spans="2:10" ht="15" customHeight="1">
      <c r="B7" s="22" t="s">
        <v>49</v>
      </c>
      <c r="C7" s="18" t="str">
        <f>'הנחות עסקה'!$C$8</f>
        <v>משרד עו"ד</v>
      </c>
      <c r="J7" s="16" t="s">
        <v>162</v>
      </c>
    </row>
    <row r="8" spans="2:10" ht="15" customHeight="1">
      <c r="B8" s="22" t="s">
        <v>51</v>
      </c>
      <c r="C8" s="18" t="str">
        <f>'הנחות עסקה'!$C$9</f>
        <v>[להזין מתווך, ככל שרלוונטי]</v>
      </c>
      <c r="J8" s="51" t="s">
        <v>163</v>
      </c>
    </row>
    <row r="9" spans="2:10" ht="15" customHeight="1">
      <c r="B9" s="22" t="s">
        <v>53</v>
      </c>
      <c r="C9" s="18" t="str">
        <f>'הנחות עסקה'!$C$10</f>
        <v>חתום פינוי בינוי לאחר רוב נדרש. תב"ע בשלבי עבודה (מעגל ראשון תמ"א 70 + מדיניות עירונית תואמת).</v>
      </c>
      <c r="J9" s="52" t="s">
        <v>164</v>
      </c>
    </row>
    <row r="10" spans="2:10" ht="15" customHeight="1">
      <c r="B10" s="22" t="s">
        <v>55</v>
      </c>
      <c r="C10" s="18" t="str">
        <f>'הנחות עסקה'!$C$11</f>
        <v>[להזין את השלב הבא בעסקה]</v>
      </c>
    </row>
    <row r="11" spans="2:10" ht="15" customHeight="1">
      <c r="J11" s="20" t="s">
        <v>165</v>
      </c>
    </row>
    <row r="12" spans="2:10" ht="19.5" customHeight="1">
      <c r="B12" s="10" t="s">
        <v>166</v>
      </c>
      <c r="C12" s="10"/>
      <c r="D12" s="10"/>
      <c r="E12" s="10"/>
      <c r="F12" s="10"/>
      <c r="G12" s="10"/>
    </row>
    <row r="13" spans="2:10" ht="15" customHeight="1">
      <c r="B13" s="22" t="s">
        <v>167</v>
      </c>
      <c r="C13" s="19">
        <f>'הנחות עסקה'!$C$25</f>
        <v>2225000</v>
      </c>
    </row>
    <row r="14" spans="2:10" ht="15" customHeight="1">
      <c r="B14" s="22" t="s">
        <v>75</v>
      </c>
      <c r="C14" s="53">
        <f>'הנחות עסקה'!$C$26</f>
        <v>1</v>
      </c>
    </row>
    <row r="15" spans="2:10" ht="15" customHeight="1">
      <c r="B15" s="22" t="s">
        <v>76</v>
      </c>
      <c r="C15" s="53">
        <f>'הנחות עסקה'!$C$27</f>
        <v>0.75</v>
      </c>
    </row>
    <row r="16" spans="2:10" ht="15" customHeight="1">
      <c r="B16" s="22" t="s">
        <v>112</v>
      </c>
      <c r="C16" s="53">
        <f>'הנחות עסקה'!$C$55</f>
        <v>0.18</v>
      </c>
    </row>
    <row r="17" spans="2:7" ht="15" customHeight="1">
      <c r="B17" s="22" t="s">
        <v>168</v>
      </c>
      <c r="C17" s="54">
        <f>'הנחות עסקה'!$C$28</f>
        <v>4.9000000000000002E-2</v>
      </c>
    </row>
    <row r="18" spans="2:7" ht="15" customHeight="1">
      <c r="B18" s="22" t="s">
        <v>78</v>
      </c>
      <c r="C18" s="55">
        <f>'הנחות עסקה'!$C$29</f>
        <v>30</v>
      </c>
    </row>
    <row r="19" spans="2:7" ht="15" customHeight="1">
      <c r="B19" s="22" t="s">
        <v>169</v>
      </c>
      <c r="C19" s="53">
        <f>'הנחות עסקה'!$C$39</f>
        <v>3.1280000000000002E-2</v>
      </c>
    </row>
    <row r="20" spans="2:7" ht="15" customHeight="1">
      <c r="B20" s="22" t="s">
        <v>170</v>
      </c>
      <c r="C20" s="53">
        <f>'הנחות עסקה'!$C$40</f>
        <v>0.03</v>
      </c>
    </row>
    <row r="21" spans="2:7" ht="15" customHeight="1">
      <c r="B21" s="22" t="s">
        <v>171</v>
      </c>
      <c r="C21" s="19">
        <f>'הנחות עסקה'!$C$41</f>
        <v>300</v>
      </c>
    </row>
    <row r="22" spans="2:7" ht="15" customHeight="1">
      <c r="B22" s="22" t="s">
        <v>172</v>
      </c>
      <c r="C22" s="55">
        <f>'הנחות עסקה'!$C$42</f>
        <v>30</v>
      </c>
    </row>
    <row r="23" spans="2:7" ht="15" customHeight="1">
      <c r="B23" s="22" t="s">
        <v>173</v>
      </c>
      <c r="C23" s="56">
        <f>'הנחות עסקה'!$C$43</f>
        <v>2</v>
      </c>
    </row>
    <row r="24" spans="2:7" ht="15" customHeight="1">
      <c r="B24" s="22" t="s">
        <v>98</v>
      </c>
      <c r="C24" s="53">
        <f>'הנחות עסקה'!$C$46</f>
        <v>0.04</v>
      </c>
    </row>
    <row r="25" spans="2:7" ht="15" customHeight="1">
      <c r="B25" s="22" t="s">
        <v>100</v>
      </c>
      <c r="C25" s="56">
        <f>'הנחות עסקה'!$C$47</f>
        <v>8</v>
      </c>
    </row>
    <row r="26" spans="2:7" ht="15" customHeight="1">
      <c r="B26" s="22" t="s">
        <v>102</v>
      </c>
      <c r="C26" s="18" t="str">
        <f>'הנחות עסקה'!$C$48</f>
        <v>פליפ</v>
      </c>
    </row>
    <row r="27" spans="2:7" ht="15" customHeight="1">
      <c r="B27" s="22" t="s">
        <v>174</v>
      </c>
      <c r="C27" s="55">
        <f>'הנחות עסקה'!$C$49</f>
        <v>72</v>
      </c>
    </row>
    <row r="28" spans="2:7" ht="15" customHeight="1">
      <c r="B28" s="22" t="s">
        <v>175</v>
      </c>
      <c r="C28" s="55">
        <f>'הנחות עסקה'!$C$51</f>
        <v>12</v>
      </c>
    </row>
    <row r="29" spans="2:7" ht="15" customHeight="1">
      <c r="B29" s="22" t="s">
        <v>176</v>
      </c>
      <c r="C29" s="57">
        <f>'הנחות עסקה'!$C$52</f>
        <v>42000</v>
      </c>
    </row>
    <row r="31" spans="2:7" ht="19.5" customHeight="1">
      <c r="B31" s="10" t="s">
        <v>177</v>
      </c>
      <c r="C31" s="10"/>
      <c r="D31" s="10"/>
      <c r="E31" s="10"/>
      <c r="F31" s="10"/>
      <c r="G31" s="10"/>
    </row>
    <row r="32" spans="2:7" ht="15" customHeight="1">
      <c r="B32" s="22" t="s">
        <v>178</v>
      </c>
      <c r="C32" s="19">
        <f>חישובים!$D$17</f>
        <v>8618.9250000000011</v>
      </c>
    </row>
    <row r="33" spans="2:7" ht="15" customHeight="1">
      <c r="B33" s="22" t="s">
        <v>179</v>
      </c>
      <c r="C33" s="54">
        <f>'הנחות עסקה'!$C$57</f>
        <v>2.3599999999999999E-2</v>
      </c>
    </row>
    <row r="34" spans="2:7" ht="15" customHeight="1">
      <c r="B34" s="22" t="s">
        <v>180</v>
      </c>
      <c r="C34" s="31">
        <f>C13*C33*C14</f>
        <v>52510</v>
      </c>
    </row>
    <row r="35" spans="2:7" ht="15" customHeight="1">
      <c r="B35" s="22" t="s">
        <v>181</v>
      </c>
      <c r="C35" s="19">
        <f>'הנחות עסקה'!$C$58</f>
        <v>9000</v>
      </c>
    </row>
    <row r="36" spans="2:7" ht="15" customHeight="1">
      <c r="B36" s="22" t="s">
        <v>116</v>
      </c>
      <c r="C36" s="19">
        <f>'הנחות עסקה'!$C$59</f>
        <v>3800</v>
      </c>
    </row>
    <row r="37" spans="2:7" ht="15" customHeight="1">
      <c r="B37" s="22" t="s">
        <v>182</v>
      </c>
      <c r="C37" s="31">
        <f>C36*(1+C16)</f>
        <v>4484</v>
      </c>
    </row>
    <row r="38" spans="2:7" ht="15" customHeight="1">
      <c r="B38" s="22" t="s">
        <v>117</v>
      </c>
      <c r="C38" s="19">
        <f>'הנחות עסקה'!$C$60</f>
        <v>15000</v>
      </c>
    </row>
    <row r="39" spans="2:7" ht="15" customHeight="1">
      <c r="B39" s="22" t="s">
        <v>113</v>
      </c>
      <c r="C39" s="54">
        <f>'הנחות עסקה'!$C$56</f>
        <v>5.8999999999999999E-3</v>
      </c>
    </row>
    <row r="40" spans="2:7" ht="15" customHeight="1">
      <c r="B40" s="22" t="s">
        <v>183</v>
      </c>
      <c r="C40" s="31">
        <f>C39*C13*C14</f>
        <v>13127.5</v>
      </c>
    </row>
    <row r="41" spans="2:7" ht="15" customHeight="1">
      <c r="B41" s="15" t="s">
        <v>184</v>
      </c>
      <c r="C41" s="32">
        <f>ROUND(SUM(C32,C34,C35,C37,C38,C40),-2)</f>
        <v>102700</v>
      </c>
    </row>
    <row r="43" spans="2:7" ht="19.5" customHeight="1">
      <c r="B43" s="10" t="s">
        <v>185</v>
      </c>
      <c r="C43" s="10"/>
      <c r="D43" s="10"/>
      <c r="E43" s="10"/>
      <c r="F43" s="10"/>
      <c r="G43" s="10"/>
    </row>
    <row r="44" spans="2:7" ht="15" customHeight="1">
      <c r="B44" s="22" t="s">
        <v>186</v>
      </c>
      <c r="C44" s="31">
        <f>C14*C13*(1-C15)</f>
        <v>556250</v>
      </c>
    </row>
    <row r="45" spans="2:7" ht="15" customHeight="1">
      <c r="B45" s="15" t="s">
        <v>187</v>
      </c>
      <c r="C45" s="32">
        <f>C44+C41</f>
        <v>658950</v>
      </c>
    </row>
    <row r="46" spans="2:7" ht="15" customHeight="1">
      <c r="B46" s="22" t="s">
        <v>188</v>
      </c>
      <c r="C46" s="31">
        <f>C44*(C15/(1-C15))</f>
        <v>1668750</v>
      </c>
    </row>
    <row r="47" spans="2:7" ht="15" customHeight="1">
      <c r="B47" s="22" t="s">
        <v>189</v>
      </c>
      <c r="C47" s="58" t="str">
        <f>IF(ROUND(C46/C15,0)=ROUND(C13*C14,0),"תקין","לבדוק שגיאה")</f>
        <v>תקין</v>
      </c>
    </row>
    <row r="48" spans="2:7" ht="15" customHeight="1">
      <c r="B48" s="22" t="s">
        <v>190</v>
      </c>
      <c r="C48" s="31">
        <f>PMT(C17/12,C18*12,C46)</f>
        <v>-8856.5021503931603</v>
      </c>
    </row>
    <row r="49" spans="2:7" ht="15" customHeight="1">
      <c r="B49" s="22" t="s">
        <v>191</v>
      </c>
      <c r="C49" s="37">
        <v>5300</v>
      </c>
    </row>
    <row r="50" spans="2:7" ht="15" customHeight="1">
      <c r="B50" s="22" t="s">
        <v>192</v>
      </c>
      <c r="C50" s="31">
        <f>ROUND((C46/1000000)*C49/0.38,-2)</f>
        <v>23300</v>
      </c>
    </row>
    <row r="52" spans="2:7" ht="19.5" customHeight="1">
      <c r="B52" s="10" t="s">
        <v>193</v>
      </c>
      <c r="C52" s="10"/>
      <c r="D52" s="10"/>
      <c r="E52" s="10"/>
      <c r="F52" s="10"/>
      <c r="G52" s="10"/>
    </row>
    <row r="53" spans="2:7" ht="15" customHeight="1">
      <c r="B53" s="22" t="s">
        <v>194</v>
      </c>
      <c r="C53" s="31">
        <f>ROUND(C13*C19/12,-2)</f>
        <v>5800</v>
      </c>
    </row>
    <row r="54" spans="2:7" ht="15" customHeight="1">
      <c r="B54" s="22" t="s">
        <v>195</v>
      </c>
      <c r="C54" s="59">
        <f>1-C22/(C23*365)</f>
        <v>0.95890410958904115</v>
      </c>
      <c r="D54" s="29" t="s">
        <v>196</v>
      </c>
    </row>
    <row r="55" spans="2:7" ht="15" customHeight="1">
      <c r="B55" s="22" t="s">
        <v>197</v>
      </c>
      <c r="C55" s="60">
        <f>ROUND(C53*C54-C21+C48,-2)</f>
        <v>-3600</v>
      </c>
      <c r="D55" s="29" t="s">
        <v>198</v>
      </c>
    </row>
    <row r="56" spans="2:7" ht="15" customHeight="1">
      <c r="B56" s="22" t="s">
        <v>199</v>
      </c>
      <c r="C56" s="19">
        <f>ROUND(-FV(חישובים!$D$22,C25*12,C55),-3)</f>
        <v>-424000</v>
      </c>
      <c r="D56" s="29" t="s">
        <v>200</v>
      </c>
    </row>
    <row r="58" spans="2:7" ht="19.5" customHeight="1">
      <c r="B58" s="10" t="s">
        <v>201</v>
      </c>
      <c r="C58" s="10"/>
      <c r="D58" s="10"/>
      <c r="E58" s="10"/>
      <c r="F58" s="10"/>
      <c r="G58" s="10"/>
    </row>
    <row r="59" spans="2:7" ht="15" customHeight="1">
      <c r="B59" s="22" t="s">
        <v>202</v>
      </c>
      <c r="C59" s="31">
        <f>ROUND((C27+C28)*C29,-2)</f>
        <v>3528000</v>
      </c>
    </row>
    <row r="60" spans="2:7" ht="15" customHeight="1">
      <c r="B60" s="22" t="s">
        <v>203</v>
      </c>
      <c r="C60" s="31">
        <f>ROUND(IF(OR(C26="פליפ",C26="עד אכלוס"),C59*(1+C24)^C25,IF(C26="אין פרויקט",C13*(1+C24)^C25,"לבחור תרחיש")),-4)</f>
        <v>4830000</v>
      </c>
      <c r="D60" s="29" t="s">
        <v>204</v>
      </c>
    </row>
    <row r="61" spans="2:7" ht="15" customHeight="1">
      <c r="B61" s="22" t="s">
        <v>205</v>
      </c>
      <c r="C61" s="19">
        <f ca="1">היוון!$C$28</f>
        <v>4519735.1100222236</v>
      </c>
    </row>
    <row r="62" spans="2:7" ht="15" customHeight="1">
      <c r="B62" s="15" t="s">
        <v>206</v>
      </c>
      <c r="C62" s="32">
        <f ca="1">ROUND(IF(C26="פליפ",C61,IF(OR(C26="עד אכלוס",C26="אין פרויקט"),C60,"לבחור תרחיש בתא לעיל")),-4)</f>
        <v>4520000</v>
      </c>
    </row>
    <row r="64" spans="2:7" ht="19.5" customHeight="1">
      <c r="B64" s="10" t="s">
        <v>207</v>
      </c>
      <c r="C64" s="10"/>
      <c r="D64" s="10"/>
      <c r="E64" s="10"/>
      <c r="F64" s="10"/>
      <c r="G64" s="10"/>
    </row>
    <row r="65" spans="2:7" ht="15" customHeight="1">
      <c r="B65" s="22" t="s">
        <v>208</v>
      </c>
      <c r="C65" s="31">
        <f>ROUND(FV(C17/12,C25*12,C48,C46),-4)</f>
        <v>-1430000</v>
      </c>
    </row>
    <row r="66" spans="2:7" ht="15" customHeight="1">
      <c r="B66" s="22" t="s">
        <v>118</v>
      </c>
      <c r="C66" s="54">
        <f>'הנחות עסקה'!$C$61</f>
        <v>5.8999999999999999E-3</v>
      </c>
    </row>
    <row r="67" spans="2:7" ht="15" customHeight="1">
      <c r="B67" s="22" t="s">
        <v>209</v>
      </c>
      <c r="C67" s="31">
        <f ca="1">-C66*C62*C14</f>
        <v>-26668</v>
      </c>
    </row>
    <row r="68" spans="2:7" ht="15" customHeight="1">
      <c r="B68" s="22" t="s">
        <v>119</v>
      </c>
      <c r="C68" s="54">
        <f>'הנחות עסקה'!$C$62</f>
        <v>0.01</v>
      </c>
    </row>
    <row r="69" spans="2:7" ht="15" customHeight="1">
      <c r="B69" s="22" t="s">
        <v>210</v>
      </c>
      <c r="C69" s="31">
        <f ca="1">-C68*C62*C14</f>
        <v>-45200</v>
      </c>
    </row>
    <row r="70" spans="2:7" ht="15" customHeight="1">
      <c r="B70" s="22" t="s">
        <v>211</v>
      </c>
      <c r="C70" s="19">
        <f>'הנחות עסקה'!$C$63</f>
        <v>0</v>
      </c>
    </row>
    <row r="71" spans="2:7" ht="15" customHeight="1">
      <c r="B71" s="15" t="s">
        <v>212</v>
      </c>
      <c r="C71" s="32">
        <f ca="1">ROUND(SUM(C67,C69,C70),-3)</f>
        <v>-72000</v>
      </c>
    </row>
    <row r="72" spans="2:7" ht="15" customHeight="1">
      <c r="B72" s="22" t="s">
        <v>213</v>
      </c>
      <c r="C72" s="19">
        <f>חישובים!$D$30</f>
        <v>6343984.5675891805</v>
      </c>
    </row>
    <row r="73" spans="2:7" ht="15" customHeight="1">
      <c r="B73" s="22" t="s">
        <v>214</v>
      </c>
      <c r="C73" s="61">
        <f ca="1">-MAX(0,C62-C72)*0.25</f>
        <v>0</v>
      </c>
      <c r="D73" s="29" t="s">
        <v>215</v>
      </c>
    </row>
    <row r="75" spans="2:7" ht="19.5" customHeight="1">
      <c r="B75" s="10" t="s">
        <v>216</v>
      </c>
      <c r="C75" s="10"/>
      <c r="D75" s="10"/>
      <c r="E75" s="10"/>
      <c r="F75" s="10"/>
      <c r="G75" s="10"/>
    </row>
    <row r="76" spans="2:7" ht="15" customHeight="1">
      <c r="B76" s="22" t="s">
        <v>217</v>
      </c>
      <c r="C76" s="31">
        <f>-C45</f>
        <v>-658950</v>
      </c>
    </row>
    <row r="77" spans="2:7" ht="15" customHeight="1">
      <c r="B77" s="15" t="s">
        <v>218</v>
      </c>
      <c r="C77" s="32">
        <f ca="1">ROUND(C62+C65+C71+C56+C76+C73,-4)</f>
        <v>1940000</v>
      </c>
      <c r="D77" s="29" t="s">
        <v>219</v>
      </c>
    </row>
    <row r="78" spans="2:7" ht="15" customHeight="1">
      <c r="B78" s="22" t="s">
        <v>220</v>
      </c>
      <c r="C78" s="59">
        <f ca="1">C77/C45</f>
        <v>2.9440776993702102</v>
      </c>
    </row>
    <row r="79" spans="2:7" ht="15" customHeight="1">
      <c r="B79" s="15" t="s">
        <v>221</v>
      </c>
      <c r="C79" s="62">
        <f ca="1">((C77+C45)/C45)^(1/C25)-1</f>
        <v>0.18711606640606782</v>
      </c>
      <c r="D79" s="29" t="s">
        <v>222</v>
      </c>
    </row>
    <row r="80" spans="2:7" ht="15" customHeight="1">
      <c r="B80" s="15" t="s">
        <v>223</v>
      </c>
      <c r="C80" s="63">
        <f ca="1">'תזרים ו-IRR'!$C$33</f>
        <v>0.17819557785987855</v>
      </c>
    </row>
    <row r="81" spans="2:7" ht="15" customHeight="1">
      <c r="B81" s="4" t="s">
        <v>224</v>
      </c>
      <c r="C81" s="4"/>
      <c r="D81" s="4"/>
      <c r="E81" s="4"/>
      <c r="F81" s="4"/>
      <c r="G81" s="4"/>
    </row>
    <row r="82" spans="2:7" ht="15" customHeight="1">
      <c r="B82" s="4"/>
      <c r="C82" s="4"/>
      <c r="D82" s="4"/>
      <c r="E82" s="4"/>
      <c r="F82" s="4"/>
      <c r="G82" s="4"/>
    </row>
    <row r="83" spans="2:7" ht="15" customHeight="1">
      <c r="B83" s="4"/>
      <c r="C83" s="4"/>
      <c r="D83" s="4"/>
      <c r="E83" s="4"/>
      <c r="F83" s="4"/>
      <c r="G83" s="4"/>
    </row>
    <row r="85" spans="2:7" ht="15" customHeight="1">
      <c r="B85" s="3" t="s">
        <v>225</v>
      </c>
      <c r="C85" s="3"/>
      <c r="D85" s="3"/>
      <c r="E85" s="3"/>
      <c r="F85" s="3"/>
      <c r="G85" s="3"/>
    </row>
    <row r="86" spans="2:7" ht="15" customHeight="1">
      <c r="B86" s="3"/>
      <c r="C86" s="3"/>
      <c r="D86" s="3"/>
      <c r="E86" s="3"/>
      <c r="F86" s="3"/>
      <c r="G86" s="3"/>
    </row>
    <row r="87" spans="2:7" ht="15" customHeight="1">
      <c r="B87" s="3"/>
      <c r="C87" s="3"/>
      <c r="D87" s="3"/>
      <c r="E87" s="3"/>
      <c r="F87" s="3"/>
      <c r="G87" s="3"/>
    </row>
    <row r="88" spans="2:7" ht="15" customHeight="1">
      <c r="B88" s="3"/>
      <c r="C88" s="3"/>
      <c r="D88" s="3"/>
      <c r="E88" s="3"/>
      <c r="F88" s="3"/>
      <c r="G88" s="3"/>
    </row>
  </sheetData>
  <sheetProtection algorithmName="SHA-512" hashValue="5/oaya8qCmoyZSbaRwcopiThDOx+sUxM6TQcS6Z3wYXDcUeMGQjwNBA1cAhJdh4ABRH1b/3XBQOJDEvezTJNUw==" saltValue="OtSNQPwqT34O8J5bLoq+nw==" spinCount="100000" sheet="1" objects="1" scenarios="1"/>
  <mergeCells count="12">
    <mergeCell ref="B81:G83"/>
    <mergeCell ref="B85:G88"/>
    <mergeCell ref="B43:G43"/>
    <mergeCell ref="B52:G52"/>
    <mergeCell ref="B58:G58"/>
    <mergeCell ref="B64:G64"/>
    <mergeCell ref="B75:G75"/>
    <mergeCell ref="B1:G1"/>
    <mergeCell ref="B2:G2"/>
    <mergeCell ref="B4:G4"/>
    <mergeCell ref="B12:G12"/>
    <mergeCell ref="B31:G31"/>
  </mergeCells>
  <hyperlinks>
    <hyperlink ref="H1" r:id="rId1" location="'תמצית%20עסקה'!A1" xr:uid="{00000000-0004-0000-0200-000000000000}"/>
  </hyperlinks>
  <pageMargins left="0.75" right="0.75" top="1" bottom="1" header="0.511811023622047" footer="0.511811023622047"/>
  <pageSetup paperSize="9" orientation="portrait" horizontalDpi="300" verticalDpi="30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75623"/>
  </sheetPr>
  <dimension ref="C1:H43"/>
  <sheetViews>
    <sheetView showGridLines="0" rightToLeft="1" zoomScaleNormal="100" workbookViewId="0">
      <pane xSplit="2" ySplit="3" topLeftCell="C4" activePane="bottomRight" state="frozen"/>
      <selection pane="topRight" activeCell="C1" sqref="C1"/>
      <selection pane="bottomLeft" activeCell="A4" sqref="A4"/>
      <selection pane="bottomRight"/>
    </sheetView>
  </sheetViews>
  <sheetFormatPr defaultColWidth="8.6640625" defaultRowHeight="14.4"/>
  <cols>
    <col min="1" max="1" width="2.44140625" customWidth="1"/>
    <col min="2" max="2" width="3" customWidth="1"/>
    <col min="3" max="3" width="32" customWidth="1"/>
    <col min="4" max="6" width="16" customWidth="1"/>
    <col min="7" max="7" width="30" customWidth="1"/>
  </cols>
  <sheetData>
    <row r="1" spans="3:8" ht="25.5" customHeight="1">
      <c r="C1" s="79" t="s">
        <v>226</v>
      </c>
      <c r="D1" s="79"/>
      <c r="E1" s="79"/>
      <c r="F1" s="79"/>
      <c r="G1" s="79"/>
      <c r="H1" s="27" t="s">
        <v>41</v>
      </c>
    </row>
    <row r="3" spans="3:8" ht="15" customHeight="1">
      <c r="C3" s="4" t="s">
        <v>227</v>
      </c>
      <c r="D3" s="4"/>
      <c r="E3" s="4"/>
      <c r="F3" s="4"/>
      <c r="G3" s="4"/>
    </row>
    <row r="4" spans="3:8" ht="15" customHeight="1">
      <c r="C4" s="4"/>
      <c r="D4" s="4"/>
      <c r="E4" s="4"/>
      <c r="F4" s="4"/>
      <c r="G4" s="4"/>
    </row>
    <row r="6" spans="3:8" ht="19.5" customHeight="1">
      <c r="C6" s="10" t="s">
        <v>228</v>
      </c>
      <c r="D6" s="10"/>
      <c r="E6" s="10"/>
      <c r="F6" s="10"/>
      <c r="G6" s="10"/>
    </row>
    <row r="7" spans="3:8" ht="15" customHeight="1">
      <c r="C7" s="22" t="s">
        <v>229</v>
      </c>
      <c r="D7" s="18" t="str">
        <f>'הנחות עסקה'!$C$66</f>
        <v>דירה יחידה (פטורה במדרגה ראשונה)</v>
      </c>
    </row>
    <row r="9" spans="3:8" ht="15" customHeight="1">
      <c r="C9" s="29" t="s">
        <v>230</v>
      </c>
    </row>
    <row r="10" spans="3:8" ht="15" customHeight="1">
      <c r="C10" s="64" t="s">
        <v>231</v>
      </c>
      <c r="D10" s="64" t="s">
        <v>232</v>
      </c>
    </row>
    <row r="11" spans="3:8" ht="15" customHeight="1">
      <c r="C11" s="65">
        <v>1978745</v>
      </c>
      <c r="D11" s="33">
        <v>0</v>
      </c>
    </row>
    <row r="12" spans="3:8" ht="15" customHeight="1">
      <c r="C12" s="65">
        <v>2347040</v>
      </c>
      <c r="D12" s="33">
        <v>3.5000000000000003E-2</v>
      </c>
    </row>
    <row r="13" spans="3:8" ht="15" customHeight="1">
      <c r="C13" s="65">
        <v>6055070</v>
      </c>
      <c r="D13" s="33">
        <v>0.05</v>
      </c>
    </row>
    <row r="14" spans="3:8" ht="15" customHeight="1">
      <c r="C14" s="65">
        <v>20183565</v>
      </c>
      <c r="D14" s="33">
        <v>0.08</v>
      </c>
    </row>
    <row r="15" spans="3:8" ht="15" customHeight="1">
      <c r="C15" s="22" t="s">
        <v>233</v>
      </c>
      <c r="D15" s="33">
        <v>0.06</v>
      </c>
      <c r="E15" s="29" t="s">
        <v>234</v>
      </c>
    </row>
    <row r="17" spans="3:7" ht="15" customHeight="1">
      <c r="C17" s="22" t="s">
        <v>235</v>
      </c>
      <c r="D17" s="58">
        <f>IF(D7="דירה יחידה (פטורה במדרגה ראשונה)",IF('מודל כלכלי'!$C$13&lt;=C11,0,IF('מודל כלכלי'!$C$13&lt;=C12,('מודל כלכלי'!$C$13-C11)*D12,IF('מודל כלכלי'!$C$13&lt;=C13,('מודל כלכלי'!$C$13-C12)*D13+(C12-C11)*D12,IF('מודל כלכלי'!$C$13&lt;=C14,('מודל כלכלי'!$C$13-C13)*D14+(C13-C12)*D13+(C12-C11)*D12,"לבדוק מדרגה נוספת")))),'מודל כלכלי'!$C$13*D15)</f>
        <v>8618.9250000000011</v>
      </c>
      <c r="E17" s="29" t="s">
        <v>236</v>
      </c>
    </row>
    <row r="18" spans="3:7" ht="15" customHeight="1">
      <c r="C18" s="22" t="s">
        <v>237</v>
      </c>
      <c r="D18" s="66">
        <f>IFERROR(D17/'מודל כלכלי'!$C$13,"")</f>
        <v>3.8736741573033714E-3</v>
      </c>
    </row>
    <row r="20" spans="3:7" ht="19.5" customHeight="1">
      <c r="C20" s="10" t="s">
        <v>238</v>
      </c>
      <c r="D20" s="10"/>
      <c r="E20" s="10"/>
      <c r="F20" s="10"/>
      <c r="G20" s="10"/>
    </row>
    <row r="21" spans="3:7" ht="15" customHeight="1">
      <c r="C21" s="22" t="s">
        <v>239</v>
      </c>
      <c r="D21" s="33">
        <v>0.05</v>
      </c>
    </row>
    <row r="22" spans="3:7" ht="15" customHeight="1">
      <c r="C22" s="22" t="s">
        <v>240</v>
      </c>
      <c r="D22" s="66">
        <f>D21/12</f>
        <v>4.1666666666666666E-3</v>
      </c>
    </row>
    <row r="23" spans="3:7" ht="15" customHeight="1">
      <c r="C23" s="22" t="s">
        <v>241</v>
      </c>
      <c r="D23" s="33">
        <v>3.3000000000000002E-2</v>
      </c>
    </row>
    <row r="24" spans="3:7" ht="15" customHeight="1">
      <c r="C24" s="22" t="s">
        <v>242</v>
      </c>
      <c r="D24" s="38">
        <v>30.5</v>
      </c>
    </row>
    <row r="25" spans="3:7" ht="15" customHeight="1">
      <c r="C25" s="22" t="s">
        <v>243</v>
      </c>
      <c r="D25" s="53">
        <f>'מודל כלכלי'!$C$24</f>
        <v>0.04</v>
      </c>
    </row>
    <row r="27" spans="3:7" ht="19.5" customHeight="1">
      <c r="C27" s="10" t="s">
        <v>244</v>
      </c>
      <c r="D27" s="10"/>
      <c r="E27" s="10"/>
      <c r="F27" s="10"/>
      <c r="G27" s="10"/>
    </row>
    <row r="28" spans="3:7" ht="15" customHeight="1">
      <c r="C28" s="22" t="s">
        <v>245</v>
      </c>
      <c r="D28" s="65">
        <v>5008000</v>
      </c>
      <c r="E28" s="29" t="s">
        <v>246</v>
      </c>
    </row>
    <row r="29" spans="3:7" ht="15" customHeight="1">
      <c r="C29" s="22" t="s">
        <v>247</v>
      </c>
      <c r="D29" s="33">
        <v>0.03</v>
      </c>
    </row>
    <row r="30" spans="3:7" ht="15" customHeight="1">
      <c r="C30" s="15" t="s">
        <v>248</v>
      </c>
      <c r="D30" s="67">
        <f>D28*(1+D29)^'מודל כלכלי'!$C$25</f>
        <v>6343984.5675891805</v>
      </c>
    </row>
    <row r="32" spans="3:7" ht="15" customHeight="1">
      <c r="C32" s="80" t="s">
        <v>249</v>
      </c>
      <c r="D32" s="80"/>
      <c r="E32" s="80"/>
      <c r="F32" s="80"/>
      <c r="G32" s="80"/>
    </row>
    <row r="33" spans="3:8" ht="15" customHeight="1">
      <c r="C33" s="80"/>
      <c r="D33" s="80"/>
      <c r="E33" s="80"/>
      <c r="F33" s="80"/>
      <c r="G33" s="80"/>
    </row>
    <row r="35" spans="3:8" ht="19.5" customHeight="1">
      <c r="C35" s="10" t="s">
        <v>250</v>
      </c>
      <c r="D35" s="10"/>
      <c r="E35" s="10"/>
      <c r="F35" s="10"/>
      <c r="G35" s="10"/>
    </row>
    <row r="36" spans="3:8" ht="15" customHeight="1">
      <c r="C36" s="64" t="s">
        <v>80</v>
      </c>
      <c r="D36" s="64" t="s">
        <v>251</v>
      </c>
      <c r="E36" s="64" t="s">
        <v>252</v>
      </c>
      <c r="F36" s="64" t="s">
        <v>82</v>
      </c>
      <c r="G36" s="64" t="s">
        <v>83</v>
      </c>
      <c r="H36" s="64" t="s">
        <v>253</v>
      </c>
    </row>
    <row r="37" spans="3:8" ht="15" customHeight="1">
      <c r="C37" s="16" t="str">
        <f>'הנחות עסקה'!$B$33</f>
        <v>קבועה לא צמודה</v>
      </c>
      <c r="D37" s="53">
        <f>'הנחות עסקה'!$C$33/900</f>
        <v>0.33333333333333331</v>
      </c>
      <c r="E37" s="24">
        <f>'מודל כלכלי'!$C$46*D37</f>
        <v>556250</v>
      </c>
      <c r="F37" s="55">
        <f>'הנחות עסקה'!$D$33</f>
        <v>30</v>
      </c>
      <c r="G37" s="54">
        <f>'הנחות עסקה'!$E$33</f>
        <v>4.8000000000000001E-2</v>
      </c>
      <c r="H37" s="24">
        <f>PMT(G37/12,F37*12,E37)</f>
        <v>-2918.4510335236741</v>
      </c>
    </row>
    <row r="38" spans="3:8" ht="15" customHeight="1">
      <c r="C38" s="16" t="str">
        <f>'הנחות עסקה'!$B$34</f>
        <v>פריים</v>
      </c>
      <c r="D38" s="53">
        <f>'הנחות עסקה'!$C$34/900</f>
        <v>0.22222222222222221</v>
      </c>
      <c r="E38" s="24">
        <f>'מודל כלכלי'!$C$46*D38</f>
        <v>370833.33333333331</v>
      </c>
      <c r="F38" s="55">
        <f>'הנחות עסקה'!$D$34</f>
        <v>30</v>
      </c>
      <c r="G38" s="54">
        <f>'הנחות עסקה'!$E$34</f>
        <v>5.2999999999999999E-2</v>
      </c>
      <c r="H38" s="24">
        <f>PMT(G38/12,F38*12,E38)</f>
        <v>-2059.2547526408634</v>
      </c>
    </row>
    <row r="39" spans="3:8" ht="15" customHeight="1">
      <c r="C39" s="16" t="str">
        <f>'הנחות עסקה'!$B$35</f>
        <v>משתנה לא צמודה</v>
      </c>
      <c r="D39" s="53">
        <f>'הנחות עסקה'!$C$35/900</f>
        <v>0.28888888888888886</v>
      </c>
      <c r="E39" s="24">
        <f>'מודל כלכלי'!$C$46*D39</f>
        <v>482083.33333333331</v>
      </c>
      <c r="F39" s="55">
        <f>'הנחות עסקה'!$D$35</f>
        <v>30</v>
      </c>
      <c r="G39" s="54">
        <f>'הנחות עסקה'!$E$35</f>
        <v>4.9000000000000002E-2</v>
      </c>
      <c r="H39" s="24">
        <f>PMT(G39/12,F39*12,E39)</f>
        <v>-2558.5450656691351</v>
      </c>
    </row>
    <row r="40" spans="3:8" ht="15" customHeight="1">
      <c r="C40" s="16" t="str">
        <f>'הנחות עסקה'!$B$36</f>
        <v>משתנה צמודה</v>
      </c>
      <c r="D40" s="53">
        <f>'הנחות עסקה'!$C$36/900</f>
        <v>0.15555555555555556</v>
      </c>
      <c r="E40" s="24">
        <f>'מודל כלכלי'!$C$46*D40</f>
        <v>259583.33333333334</v>
      </c>
      <c r="F40" s="55">
        <f>'הנחות עסקה'!$D$36</f>
        <v>30</v>
      </c>
      <c r="G40" s="54">
        <f>'הנחות עסקה'!$E$36</f>
        <v>2.7E-2</v>
      </c>
      <c r="H40" s="24">
        <f>PMT(G40/12,F40*12,E40)</f>
        <v>-1052.8638280314156</v>
      </c>
    </row>
    <row r="41" spans="3:8" ht="15" customHeight="1">
      <c r="C41" s="15" t="s">
        <v>254</v>
      </c>
      <c r="D41" s="68">
        <f>SUM(D37:D40)</f>
        <v>1</v>
      </c>
      <c r="E41" s="67">
        <f>SUM(E37:E40)</f>
        <v>1668749.9999999998</v>
      </c>
      <c r="H41" s="67">
        <f>SUM(H37:H40)</f>
        <v>-8589.114679865088</v>
      </c>
    </row>
    <row r="42" spans="3:8" ht="15" customHeight="1">
      <c r="C42" s="22" t="s">
        <v>255</v>
      </c>
      <c r="D42" s="69" t="str">
        <f>IF(ROUND(E41,0)=ROUND('מודל כלכלי'!$C$46,0),"תואם","פער - לבדוק חלוקת מסלולים")</f>
        <v>תואם</v>
      </c>
    </row>
    <row r="43" spans="3:8" ht="36.75" customHeight="1">
      <c r="C43" s="70" t="s">
        <v>256</v>
      </c>
      <c r="D43" s="69" t="str">
        <f>IF(ABS(H41-'מודל כלכלי'!$C$48)&lt;=50,"תואם (סטייה עד 50 ₪)","פער ₪"&amp;TEXT(H41-'מודל כלכלי'!$C$48,"#,##0")&amp;" - טבעי, ר' הערה")</f>
        <v>פער ₪267 - טבעי, ר' הערה</v>
      </c>
    </row>
  </sheetData>
  <sheetProtection algorithmName="SHA-512" hashValue="WGppezT/tZHhT9bCcoDq1ZhKZ88L3nDEakGzzVee7gzG0MFM7YB0ky1mJYxQgi1hoK3imDTAU+blgjhKI+Cvvg==" saltValue="G6T9NkEuERtPWnalKWq5GQ==" spinCount="100000" sheet="1" objects="1" scenarios="1"/>
  <mergeCells count="7">
    <mergeCell ref="C32:G33"/>
    <mergeCell ref="C35:G35"/>
    <mergeCell ref="C1:G1"/>
    <mergeCell ref="C3:G4"/>
    <mergeCell ref="C6:G6"/>
    <mergeCell ref="C20:G20"/>
    <mergeCell ref="C27:G27"/>
  </mergeCells>
  <hyperlinks>
    <hyperlink ref="H1" r:id="rId1" location="'תמצית%20עסקה'!A1" xr:uid="{00000000-0004-0000-0300-000000000000}"/>
  </hyperlinks>
  <pageMargins left="0.75" right="0.75" top="1" bottom="1" header="0.511811023622047" footer="0.511811023622047"/>
  <pageSetup paperSize="9" orientation="portrait" horizontalDpi="300" verticalDpi="30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833C0C"/>
  </sheetPr>
  <dimension ref="B1:H28"/>
  <sheetViews>
    <sheetView showGridLines="0" rightToLeft="1" zoomScaleNormal="100" workbookViewId="0">
      <pane xSplit="2" ySplit="3" topLeftCell="C4" activePane="bottomRight" state="frozen"/>
      <selection pane="topRight" activeCell="C1" sqref="C1"/>
      <selection pane="bottomLeft" activeCell="A4" sqref="A4"/>
      <selection pane="bottomRight"/>
    </sheetView>
  </sheetViews>
  <sheetFormatPr defaultColWidth="8.6640625" defaultRowHeight="14.4"/>
  <cols>
    <col min="1" max="1" width="2.44140625" customWidth="1"/>
    <col min="2" max="2" width="34" customWidth="1"/>
    <col min="3" max="6" width="15" customWidth="1"/>
    <col min="7" max="7" width="30" customWidth="1"/>
  </cols>
  <sheetData>
    <row r="1" spans="2:8" ht="25.5" customHeight="1">
      <c r="B1" s="79" t="s">
        <v>257</v>
      </c>
      <c r="C1" s="79"/>
      <c r="D1" s="79"/>
      <c r="E1" s="79"/>
      <c r="F1" s="79"/>
      <c r="G1" s="79"/>
      <c r="H1" s="27" t="s">
        <v>41</v>
      </c>
    </row>
    <row r="3" spans="2:8" ht="19.5" customHeight="1">
      <c r="B3" s="10" t="s">
        <v>258</v>
      </c>
      <c r="C3" s="10"/>
      <c r="D3" s="10"/>
      <c r="E3" s="10"/>
      <c r="F3" s="10"/>
      <c r="G3" s="10"/>
    </row>
    <row r="4" spans="2:8" ht="15" customHeight="1">
      <c r="B4" s="22" t="s">
        <v>127</v>
      </c>
      <c r="D4" s="71">
        <f ca="1">'הנחות עסקה'!$D$70</f>
        <v>46284</v>
      </c>
    </row>
    <row r="5" spans="2:8" ht="15" customHeight="1">
      <c r="B5" s="22" t="s">
        <v>259</v>
      </c>
      <c r="D5" s="71">
        <f ca="1">'הנחות עסקה'!$D$74</f>
        <v>48839.200000000004</v>
      </c>
    </row>
    <row r="6" spans="2:8" ht="15" customHeight="1">
      <c r="B6" s="22" t="s">
        <v>260</v>
      </c>
      <c r="D6" s="71">
        <f ca="1">'הנחות עסקה'!$D$74</f>
        <v>48839.200000000004</v>
      </c>
    </row>
    <row r="7" spans="2:8" ht="15" customHeight="1">
      <c r="B7" s="15" t="s">
        <v>261</v>
      </c>
      <c r="D7" s="44">
        <f ca="1">'הנחות עסקה'!$D$73</f>
        <v>49568.800000000003</v>
      </c>
    </row>
    <row r="8" spans="2:8" ht="15" customHeight="1">
      <c r="B8" s="22" t="s">
        <v>262</v>
      </c>
      <c r="C8" s="46">
        <f ca="1">(D7-D4)/365</f>
        <v>8.9994520547945278</v>
      </c>
      <c r="D8" s="29" t="s">
        <v>263</v>
      </c>
    </row>
    <row r="9" spans="2:8" ht="15" customHeight="1">
      <c r="B9" s="4" t="s">
        <v>264</v>
      </c>
      <c r="C9" s="4"/>
      <c r="D9" s="4"/>
      <c r="E9" s="4"/>
      <c r="F9" s="4"/>
      <c r="G9" s="4"/>
    </row>
    <row r="10" spans="2:8" ht="15" customHeight="1">
      <c r="B10" s="4"/>
      <c r="C10" s="4"/>
      <c r="D10" s="4"/>
      <c r="E10" s="4"/>
      <c r="F10" s="4"/>
      <c r="G10" s="4"/>
    </row>
    <row r="12" spans="2:8" ht="19.5" customHeight="1">
      <c r="B12" s="10" t="s">
        <v>265</v>
      </c>
      <c r="C12" s="10"/>
      <c r="D12" s="10"/>
      <c r="E12" s="10"/>
      <c r="F12" s="10"/>
      <c r="G12" s="10"/>
    </row>
    <row r="13" spans="2:8" ht="15" customHeight="1">
      <c r="B13" s="4" t="s">
        <v>266</v>
      </c>
      <c r="C13" s="4"/>
      <c r="D13" s="4"/>
      <c r="E13" s="4"/>
      <c r="F13" s="4"/>
      <c r="G13" s="4"/>
    </row>
    <row r="14" spans="2:8" ht="30" customHeight="1">
      <c r="C14" s="72" t="s">
        <v>267</v>
      </c>
      <c r="D14" s="72" t="s">
        <v>268</v>
      </c>
      <c r="E14" s="72" t="s">
        <v>269</v>
      </c>
      <c r="F14" s="72" t="s">
        <v>270</v>
      </c>
    </row>
    <row r="15" spans="2:8" ht="15" customHeight="1">
      <c r="B15" s="22" t="s">
        <v>271</v>
      </c>
      <c r="C15" s="45">
        <f ca="1">D5</f>
        <v>48839.200000000004</v>
      </c>
      <c r="D15" s="45">
        <f ca="1">D5</f>
        <v>48839.200000000004</v>
      </c>
      <c r="E15" s="45">
        <f ca="1">D7-30</f>
        <v>49538.8</v>
      </c>
      <c r="F15" s="45">
        <f ca="1">D7</f>
        <v>49568.800000000003</v>
      </c>
    </row>
    <row r="16" spans="2:8" ht="15" customHeight="1">
      <c r="B16" s="22" t="s">
        <v>272</v>
      </c>
      <c r="C16" s="33">
        <v>7.0000000000000007E-2</v>
      </c>
      <c r="D16" s="33">
        <v>0.13</v>
      </c>
      <c r="E16" s="33">
        <v>0.7</v>
      </c>
      <c r="F16" s="33">
        <v>0.1</v>
      </c>
    </row>
    <row r="17" spans="2:7" ht="15" customHeight="1">
      <c r="B17" s="22" t="s">
        <v>273</v>
      </c>
      <c r="C17" s="57">
        <f>C16*'מודל כלכלי'!$C$60</f>
        <v>338100.00000000006</v>
      </c>
      <c r="D17" s="57">
        <f>D16*'מודל כלכלי'!$C$60</f>
        <v>627900</v>
      </c>
      <c r="E17" s="57">
        <f>E16*'מודל כלכלי'!$C$60</f>
        <v>3381000</v>
      </c>
      <c r="F17" s="57">
        <f>F16*'מודל כלכלי'!$C$60</f>
        <v>483000</v>
      </c>
    </row>
    <row r="18" spans="2:7" ht="15" customHeight="1">
      <c r="B18" s="22" t="s">
        <v>274</v>
      </c>
      <c r="C18" s="24">
        <v>0</v>
      </c>
      <c r="D18" s="24">
        <v>0</v>
      </c>
      <c r="E18" s="57">
        <f ca="1">((E15-D6)/365)*חישובים!$D$23*E17*0.5</f>
        <v>106926.6723287669</v>
      </c>
      <c r="F18" s="57">
        <f ca="1">((F15-D6)/365)*חישובים!$D$23*F17*0.5</f>
        <v>15930.266301369833</v>
      </c>
    </row>
    <row r="19" spans="2:7" ht="15" customHeight="1">
      <c r="B19" s="15" t="s">
        <v>275</v>
      </c>
      <c r="C19" s="67">
        <f ca="1">-PV(חישובים!$D$21,(C15-D5)/365,,(C17+C18))</f>
        <v>338100.00000000006</v>
      </c>
      <c r="D19" s="67">
        <f ca="1">-PV(חישובים!$D$21,(D15-D5)/365,,(D17+D18))</f>
        <v>627900</v>
      </c>
      <c r="E19" s="67">
        <f ca="1">-PV(חישובים!$D$21,(E15-D5)/365,,(E17+E18))</f>
        <v>3176534.3447376299</v>
      </c>
      <c r="F19" s="67">
        <f ca="1">-PV(חישובים!$D$21,(F15-D5)/365,,(F17+F18))</f>
        <v>452568.65682890522</v>
      </c>
    </row>
    <row r="20" spans="2:7" ht="15" customHeight="1">
      <c r="B20" s="15" t="s">
        <v>276</v>
      </c>
      <c r="C20" s="32">
        <f ca="1">SUM(C19:F19)</f>
        <v>4595103.0015665349</v>
      </c>
    </row>
    <row r="22" spans="2:7" ht="19.5" customHeight="1">
      <c r="B22" s="10" t="s">
        <v>277</v>
      </c>
      <c r="C22" s="10"/>
      <c r="D22" s="10"/>
      <c r="E22" s="10"/>
      <c r="F22" s="10"/>
      <c r="G22" s="10"/>
    </row>
    <row r="23" spans="2:7" ht="15" customHeight="1">
      <c r="B23" s="22" t="s">
        <v>278</v>
      </c>
      <c r="C23" s="53">
        <f>'מודל כלכלי'!$C$20</f>
        <v>0.03</v>
      </c>
    </row>
    <row r="24" spans="2:7" ht="15" customHeight="1">
      <c r="B24" s="22" t="s">
        <v>279</v>
      </c>
      <c r="C24" s="19">
        <f ca="1">-FV(C23,(D6-D4)/365,,'מודל כלכלי'!$C$53)</f>
        <v>7133.3839551234769</v>
      </c>
    </row>
    <row r="25" spans="2:7" ht="15" customHeight="1">
      <c r="B25" s="22" t="s">
        <v>280</v>
      </c>
      <c r="C25" s="31">
        <f ca="1">-PV(חישובים!$D$21/12,(D7-D6)/365*12,C24)</f>
        <v>162512.90372001659</v>
      </c>
      <c r="D25" s="29" t="s">
        <v>281</v>
      </c>
    </row>
    <row r="26" spans="2:7" ht="15" customHeight="1">
      <c r="B26" s="22" t="s">
        <v>282</v>
      </c>
      <c r="C26" s="33">
        <v>0.05</v>
      </c>
    </row>
    <row r="27" spans="2:7" ht="15" customHeight="1">
      <c r="B27" s="22" t="s">
        <v>283</v>
      </c>
      <c r="C27" s="31">
        <f ca="1">-(C20+C25)*C26</f>
        <v>-237880.79526432758</v>
      </c>
    </row>
    <row r="28" spans="2:7" ht="15" customHeight="1">
      <c r="B28" s="15" t="s">
        <v>284</v>
      </c>
      <c r="C28" s="32">
        <f ca="1">C25+C20+C27</f>
        <v>4519735.1100222236</v>
      </c>
      <c r="D28" s="29" t="s">
        <v>285</v>
      </c>
    </row>
  </sheetData>
  <sheetProtection algorithmName="SHA-512" hashValue="bomYBclFRUBD9tGXwM18m+Cl2sw074PSVHGpDSJ+PEfrk7/NxmeLOeRb/O/ZYB82FKC5DYXkKMnRnNLzUi3beA==" saltValue="PIDqSpSuq0cHSZrH3WZcIg==" spinCount="100000" sheet="1" objects="1" scenarios="1"/>
  <mergeCells count="6">
    <mergeCell ref="B22:G22"/>
    <mergeCell ref="B1:G1"/>
    <mergeCell ref="B3:G3"/>
    <mergeCell ref="B9:G10"/>
    <mergeCell ref="B12:G12"/>
    <mergeCell ref="B13:G13"/>
  </mergeCells>
  <hyperlinks>
    <hyperlink ref="H1" r:id="rId1" location="'תמצית%20עסקה'!A1" xr:uid="{00000000-0004-0000-0400-000000000000}"/>
  </hyperlink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E5395"/>
  </sheetPr>
  <dimension ref="B1:F37"/>
  <sheetViews>
    <sheetView showGridLines="0" rightToLeft="1" zoomScaleNormal="100" workbookViewId="0">
      <pane xSplit="2" ySplit="3" topLeftCell="C4" activePane="bottomRight" state="frozen"/>
      <selection pane="topRight" activeCell="C1" sqref="C1"/>
      <selection pane="bottomLeft" activeCell="A4" sqref="A4"/>
      <selection pane="bottomRight"/>
    </sheetView>
  </sheetViews>
  <sheetFormatPr defaultColWidth="8.6640625" defaultRowHeight="14.4"/>
  <cols>
    <col min="1" max="1" width="2.44140625" customWidth="1"/>
    <col min="2" max="2" width="26" customWidth="1"/>
    <col min="3" max="4" width="15" customWidth="1"/>
    <col min="5" max="5" width="44" customWidth="1"/>
  </cols>
  <sheetData>
    <row r="1" spans="2:6" ht="25.5" customHeight="1">
      <c r="B1" s="79" t="s">
        <v>286</v>
      </c>
      <c r="C1" s="79"/>
      <c r="D1" s="79"/>
      <c r="E1" s="79"/>
      <c r="F1" s="27" t="s">
        <v>41</v>
      </c>
    </row>
    <row r="3" spans="2:6" ht="15" customHeight="1">
      <c r="B3" s="4" t="s">
        <v>287</v>
      </c>
      <c r="C3" s="4"/>
      <c r="D3" s="4"/>
      <c r="E3" s="4"/>
    </row>
    <row r="4" spans="2:6" ht="15" customHeight="1">
      <c r="B4" s="4"/>
      <c r="C4" s="4"/>
      <c r="D4" s="4"/>
      <c r="E4" s="4"/>
    </row>
    <row r="5" spans="2:6" ht="15" customHeight="1">
      <c r="B5" s="4"/>
      <c r="C5" s="4"/>
      <c r="D5" s="4"/>
      <c r="E5" s="4"/>
    </row>
    <row r="6" spans="2:6" ht="15" customHeight="1">
      <c r="B6" s="4"/>
      <c r="C6" s="4"/>
      <c r="D6" s="4"/>
      <c r="E6" s="4"/>
    </row>
    <row r="9" spans="2:6" ht="15" customHeight="1">
      <c r="B9" s="22" t="s">
        <v>288</v>
      </c>
      <c r="C9" s="55">
        <f>ROUND('מודל כלכלי'!$C$25,0)</f>
        <v>8</v>
      </c>
    </row>
    <row r="11" spans="2:6" ht="15" customHeight="1">
      <c r="B11" s="64" t="s">
        <v>289</v>
      </c>
      <c r="C11" s="64" t="s">
        <v>290</v>
      </c>
      <c r="D11" s="64" t="s">
        <v>291</v>
      </c>
      <c r="E11" s="64" t="s">
        <v>292</v>
      </c>
    </row>
    <row r="12" spans="2:6" ht="15" customHeight="1">
      <c r="B12" s="73">
        <v>0</v>
      </c>
      <c r="C12" s="71">
        <f ca="1">היוון!$D$4</f>
        <v>46284</v>
      </c>
      <c r="D12" s="22" t="s">
        <v>293</v>
      </c>
      <c r="E12" s="57">
        <f>-'מודל כלכלי'!$C$45</f>
        <v>-658950</v>
      </c>
    </row>
    <row r="13" spans="2:6" ht="15" customHeight="1">
      <c r="B13" s="73">
        <v>1</v>
      </c>
      <c r="C13" s="71">
        <f ca="1">היוון!$D$4+1*365</f>
        <v>46649</v>
      </c>
      <c r="D13" s="22" t="str">
        <f>IF(1&lt;C9,"תזרים שכירות שוטף (כולל עליית שכ״ד)",IF(1=C9,"תזרים תפעולי שוטף - שנת המכירה (ר' פירוט מתחת)","לא רלוונטי (מעבר לתקופת ההחזקה)"))</f>
        <v>תזרים שכירות שוטף (כולל עליית שכ״ד)</v>
      </c>
      <c r="E13" s="57">
        <f>IF(1&lt;=C9,12*(('מודל כלכלי'!$C$53*(1+'מודל כלכלי'!$C$20)^(1-1))*'מודל כלכלי'!$C$54-'מודל כלכלי'!$C$21+'מודל כלכלי'!$C$48),0)</f>
        <v>-43138.299777320659</v>
      </c>
    </row>
    <row r="14" spans="2:6" ht="15" customHeight="1">
      <c r="B14" s="73">
        <v>2</v>
      </c>
      <c r="C14" s="71">
        <f ca="1">היוון!$D$4+2*365</f>
        <v>47014</v>
      </c>
      <c r="D14" s="22" t="str">
        <f>IF(2&lt;C9,"תזרים שכירות שוטף (כולל עליית שכ״ד)",IF(2=C9,"תזרים תפעולי שוטף - שנת המכירה (ר' פירוט מתחת)","לא רלוונטי (מעבר לתקופת ההחזקה)"))</f>
        <v>תזרים שכירות שוטף (כולל עליית שכ״ד)</v>
      </c>
      <c r="E14" s="57">
        <f>IF(2&lt;=C9,12*(('מודל כלכלי'!$C$53*(1+'מודל כלכלי'!$C$20)^(2-1))*'מודל כלכלי'!$C$54-'מודל כלכלי'!$C$21+'מודל כלכלי'!$C$48),0)</f>
        <v>-41136.107996498744</v>
      </c>
    </row>
    <row r="15" spans="2:6" ht="15" customHeight="1">
      <c r="B15" s="73">
        <v>3</v>
      </c>
      <c r="C15" s="71">
        <f ca="1">היוון!$D$4+3*365</f>
        <v>47379</v>
      </c>
      <c r="D15" s="22" t="str">
        <f>IF(3&lt;C9,"תזרים שכירות שוטף (כולל עליית שכ״ד)",IF(3=C9,"תזרים תפעולי שוטף - שנת המכירה (ר' פירוט מתחת)","לא רלוונטי (מעבר לתקופת ההחזקה)"))</f>
        <v>תזרים שכירות שוטף (כולל עליית שכ״ד)</v>
      </c>
      <c r="E15" s="57">
        <f>IF(3&lt;=C9,12*(('מודל כלכלי'!$C$53*(1+'מודל כלכלי'!$C$20)^(3-1))*'מודל כלכלי'!$C$54-'מודל כלכלי'!$C$21+'מודל כלכלי'!$C$48),0)</f>
        <v>-39073.850462252172</v>
      </c>
    </row>
    <row r="16" spans="2:6" ht="15" customHeight="1">
      <c r="B16" s="73">
        <v>4</v>
      </c>
      <c r="C16" s="71">
        <f ca="1">היוון!$D$4+4*365</f>
        <v>47744</v>
      </c>
      <c r="D16" s="22" t="str">
        <f>IF(4&lt;C9,"תזרים שכירות שוטף (כולל עליית שכ״ד)",IF(4=C9,"תזרים תפעולי שוטף - שנת המכירה (ר' פירוט מתחת)","לא רלוונטי (מעבר לתקופת ההחזקה)"))</f>
        <v>תזרים שכירות שוטף (כולל עליית שכ״ד)</v>
      </c>
      <c r="E16" s="57">
        <f>IF(4&lt;=C9,12*(('מודל כלכלי'!$C$53*(1+'מודל כלכלי'!$C$20)^(4-1))*'מודל כלכלי'!$C$54-'מודל כלכלי'!$C$21+'מודל כלכלי'!$C$48),0)</f>
        <v>-36949.725201978188</v>
      </c>
    </row>
    <row r="17" spans="2:5" ht="15" customHeight="1">
      <c r="B17" s="73">
        <v>5</v>
      </c>
      <c r="C17" s="71">
        <f ca="1">היוון!$D$4+5*365</f>
        <v>48109</v>
      </c>
      <c r="D17" s="22" t="str">
        <f>IF(5&lt;C9,"תזרים שכירות שוטף (כולל עליית שכ״ד)",IF(5=C9,"תזרים תפעולי שוטף - שנת המכירה (ר' פירוט מתחת)","לא רלוונטי (מעבר לתקופת ההחזקה)"))</f>
        <v>תזרים שכירות שוטף (כולל עליית שכ״ד)</v>
      </c>
      <c r="E17" s="57">
        <f>IF(5&lt;=C9,12*(('מודל כלכלי'!$C$53*(1+'מודל כלכלי'!$C$20)^(5-1))*'מודל כלכלי'!$C$54-'מודל כלכלי'!$C$21+'מודל כלכלי'!$C$48),0)</f>
        <v>-34761.876183896005</v>
      </c>
    </row>
    <row r="18" spans="2:5" ht="15" customHeight="1">
      <c r="B18" s="73">
        <v>6</v>
      </c>
      <c r="C18" s="71">
        <f ca="1">היוון!$D$4+6*365</f>
        <v>48474</v>
      </c>
      <c r="D18" s="22" t="str">
        <f>IF(6&lt;C9,"תזרים שכירות שוטף (כולל עליית שכ״ד)",IF(6=C9,"תזרים תפעולי שוטף - שנת המכירה (ר' פירוט מתחת)","לא רלוונטי (מעבר לתקופת ההחזקה)"))</f>
        <v>תזרים שכירות שוטף (כולל עליית שכ״ד)</v>
      </c>
      <c r="E18" s="57">
        <f>IF(6&lt;=C9,12*(('מודל כלכלי'!$C$53*(1+'מודל כלכלי'!$C$20)^(6-1))*'מודל כלכלי'!$C$54-'מודל כלכלי'!$C$21+'מודל כלכלי'!$C$48),0)</f>
        <v>-32508.391695271352</v>
      </c>
    </row>
    <row r="19" spans="2:5" ht="15" customHeight="1">
      <c r="B19" s="73">
        <v>7</v>
      </c>
      <c r="C19" s="71">
        <f ca="1">היוון!$D$4+7*365</f>
        <v>48839</v>
      </c>
      <c r="D19" s="22" t="str">
        <f>IF(7&lt;C9,"תזרים שכירות שוטף (כולל עליית שכ״ד)",IF(7=C9,"תזרים תפעולי שוטף - שנת המכירה (ר' פירוט מתחת)","לא רלוונטי (מעבר לתקופת ההחזקה)"))</f>
        <v>תזרים שכירות שוטף (כולל עליית שכ״ד)</v>
      </c>
      <c r="E19" s="57">
        <f>IF(7&lt;=C9,12*(('מודל כלכלי'!$C$53*(1+'מודל כלכלי'!$C$20)^(7-1))*'מודל כלכלי'!$C$54-'מודל כלכלי'!$C$21+'מודל כלכלי'!$C$48),0)</f>
        <v>-30187.302671987953</v>
      </c>
    </row>
    <row r="20" spans="2:5" ht="15" customHeight="1">
      <c r="B20" s="73">
        <v>8</v>
      </c>
      <c r="C20" s="71">
        <f ca="1">היוון!$D$4+8*365</f>
        <v>49204</v>
      </c>
      <c r="D20" s="22" t="str">
        <f>IF(8&lt;C9,"תזרים שכירות שוטף (כולל עליית שכ״ד)",IF(8=C9,"תזרים תפעולי שוטף - שנת המכירה (ר' פירוט מתחת)","לא רלוונטי (מעבר לתקופת ההחזקה)"))</f>
        <v>תזרים תפעולי שוטף - שנת המכירה (ר' פירוט מתחת)</v>
      </c>
      <c r="E20" s="57">
        <f>IF(8&lt;=C9,12*(('מודל כלכלי'!$C$53*(1+'מודל כלכלי'!$C$20)^(8-1))*'מודל כלכלי'!$C$54-'מודל כלכלי'!$C$21+'מודל כלכלי'!$C$48),0)</f>
        <v>-27796.580978006044</v>
      </c>
    </row>
    <row r="21" spans="2:5" ht="15" customHeight="1">
      <c r="B21" s="73">
        <v>9</v>
      </c>
      <c r="C21" s="71">
        <f ca="1">היוון!$D$4+9*365</f>
        <v>49569</v>
      </c>
      <c r="D21" s="22" t="str">
        <f>IF(9&lt;C9,"תזרים שכירות שוטף (כולל עליית שכ״ד)",IF(9=C9,"תזרים תפעולי שוטף - שנת המכירה (ר' פירוט מתחת)","לא רלוונטי (מעבר לתקופת ההחזקה)"))</f>
        <v>לא רלוונטי (מעבר לתקופת ההחזקה)</v>
      </c>
      <c r="E21" s="57">
        <f>IF(9&lt;=C9,12*(('מודל כלכלי'!$C$53*(1+'מודל כלכלי'!$C$20)^(9-1))*'מודל כלכלי'!$C$54-'מודל כלכלי'!$C$21+'מודל כלכלי'!$C$48),0)</f>
        <v>0</v>
      </c>
    </row>
    <row r="22" spans="2:5" ht="15" customHeight="1">
      <c r="B22" s="73">
        <v>10</v>
      </c>
      <c r="C22" s="71">
        <f ca="1">היוון!$D$4+10*365</f>
        <v>49934</v>
      </c>
      <c r="D22" s="22" t="str">
        <f>IF(10&lt;C9,"תזרים שכירות שוטף (כולל עליית שכ״ד)",IF(10=C9,"תזרים תפעולי שוטף - שנת המכירה (ר' פירוט מתחת)","לא רלוונטי (מעבר לתקופת ההחזקה)"))</f>
        <v>לא רלוונטי (מעבר לתקופת ההחזקה)</v>
      </c>
      <c r="E22" s="57">
        <f>IF(10&lt;=C9,12*(('מודל כלכלי'!$C$53*(1+'מודל כלכלי'!$C$20)^(10-1))*'מודל כלכלי'!$C$54-'מודל כלכלי'!$C$21+'מודל כלכלי'!$C$48),0)</f>
        <v>0</v>
      </c>
    </row>
    <row r="23" spans="2:5" ht="15" customHeight="1">
      <c r="B23" s="73">
        <v>11</v>
      </c>
      <c r="C23" s="71">
        <f ca="1">היוון!$D$4+11*365</f>
        <v>50299</v>
      </c>
      <c r="D23" s="22" t="str">
        <f>IF(11&lt;C9,"תזרים שכירות שוטף (כולל עליית שכ״ד)",IF(11=C9,"תזרים תפעולי שוטף - שנת המכירה (ר' פירוט מתחת)","לא רלוונטי (מעבר לתקופת ההחזקה)"))</f>
        <v>לא רלוונטי (מעבר לתקופת ההחזקה)</v>
      </c>
      <c r="E23" s="57">
        <f>IF(11&lt;=C9,12*(('מודל כלכלי'!$C$53*(1+'מודל כלכלי'!$C$20)^(11-1))*'מודל כלכלי'!$C$54-'מודל כלכלי'!$C$21+'מודל כלכלי'!$C$48),0)</f>
        <v>0</v>
      </c>
    </row>
    <row r="24" spans="2:5" ht="15" customHeight="1">
      <c r="B24" s="73">
        <v>12</v>
      </c>
      <c r="C24" s="71">
        <f ca="1">היוון!$D$4+12*365</f>
        <v>50664</v>
      </c>
      <c r="D24" s="22" t="str">
        <f>IF(12&lt;C9,"תזרים שכירות שוטף (כולל עליית שכ״ד)",IF(12=C9,"תזרים תפעולי שוטף - שנת המכירה (ר' פירוט מתחת)","לא רלוונטי (מעבר לתקופת ההחזקה)"))</f>
        <v>לא רלוונטי (מעבר לתקופת ההחזקה)</v>
      </c>
      <c r="E24" s="57">
        <f>IF(12&lt;=C9,12*(('מודל כלכלי'!$C$53*(1+'מודל כלכלי'!$C$20)^(12-1))*'מודל כלכלי'!$C$54-'מודל כלכלי'!$C$21+'מודל כלכלי'!$C$48),0)</f>
        <v>0</v>
      </c>
    </row>
    <row r="25" spans="2:5" ht="15" customHeight="1">
      <c r="B25" s="73">
        <v>13</v>
      </c>
      <c r="C25" s="71">
        <f ca="1">היוון!$D$4+13*365</f>
        <v>51029</v>
      </c>
      <c r="D25" s="22" t="str">
        <f>IF(13&lt;C9,"תזרים שכירות שוטף (כולל עליית שכ״ד)",IF(13=C9,"תזרים תפעולי שוטף - שנת המכירה (ר' פירוט מתחת)","לא רלוונטי (מעבר לתקופת ההחזקה)"))</f>
        <v>לא רלוונטי (מעבר לתקופת ההחזקה)</v>
      </c>
      <c r="E25" s="57">
        <f>IF(13&lt;=C9,12*(('מודל כלכלי'!$C$53*(1+'מודל כלכלי'!$C$20)^(13-1))*'מודל כלכלי'!$C$54-'מודל כלכלי'!$C$21+'מודל כלכלי'!$C$48),0)</f>
        <v>0</v>
      </c>
    </row>
    <row r="26" spans="2:5" ht="15" customHeight="1">
      <c r="B26" s="73">
        <v>14</v>
      </c>
      <c r="C26" s="71">
        <f ca="1">היוון!$D$4+14*365</f>
        <v>51394</v>
      </c>
      <c r="D26" s="22" t="str">
        <f>IF(14&lt;C9,"תזרים שכירות שוטף (כולל עליית שכ״ד)",IF(14=C9,"תזרים תפעולי שוטף - שנת המכירה (ר' פירוט מתחת)","לא רלוונטי (מעבר לתקופת ההחזקה)"))</f>
        <v>לא רלוונטי (מעבר לתקופת ההחזקה)</v>
      </c>
      <c r="E26" s="57">
        <f>IF(14&lt;=C9,12*(('מודל כלכלי'!$C$53*(1+'מודל כלכלי'!$C$20)^(14-1))*'מודל כלכלי'!$C$54-'מודל כלכלי'!$C$21+'מודל כלכלי'!$C$48),0)</f>
        <v>0</v>
      </c>
    </row>
    <row r="27" spans="2:5" ht="15" customHeight="1">
      <c r="B27" s="73">
        <v>15</v>
      </c>
      <c r="C27" s="71">
        <f ca="1">היוון!$D$4+15*365</f>
        <v>51759</v>
      </c>
      <c r="D27" s="22" t="str">
        <f>IF(15&lt;C9,"תזרים שכירות שוטף (כולל עליית שכ״ד)",IF(15=C9,"תזרים תפעולי שוטף - שנת המכירה (ר' פירוט מתחת)","לא רלוונטי (מעבר לתקופת ההחזקה)"))</f>
        <v>לא רלוונטי (מעבר לתקופת ההחזקה)</v>
      </c>
      <c r="E27" s="57">
        <f>IF(15&lt;=C9,12*(('מודל כלכלי'!$C$53*(1+'מודל כלכלי'!$C$20)^(15-1))*'מודל כלכלי'!$C$54-'מודל כלכלי'!$C$21+'מודל כלכלי'!$C$48),0)</f>
        <v>0</v>
      </c>
    </row>
    <row r="28" spans="2:5" ht="15" customHeight="1">
      <c r="B28" s="58"/>
      <c r="C28" s="71">
        <f ca="1">היוון!$D$4+C9*365</f>
        <v>49204</v>
      </c>
      <c r="D28" s="22" t="s">
        <v>294</v>
      </c>
      <c r="E28" s="57">
        <f ca="1">'מודל כלכלי'!$C$62</f>
        <v>4520000</v>
      </c>
    </row>
    <row r="29" spans="2:5" ht="15" customHeight="1">
      <c r="B29" s="58"/>
      <c r="C29" s="71">
        <f ca="1">היוון!$D$4+C9*365</f>
        <v>49204</v>
      </c>
      <c r="D29" s="22" t="s">
        <v>295</v>
      </c>
      <c r="E29" s="57">
        <f>'מודל כלכלי'!$C$65</f>
        <v>-1430000</v>
      </c>
    </row>
    <row r="30" spans="2:5" ht="15" customHeight="1">
      <c r="B30" s="58"/>
      <c r="C30" s="71">
        <f ca="1">היוון!$D$4+C9*365</f>
        <v>49204</v>
      </c>
      <c r="D30" s="22" t="s">
        <v>296</v>
      </c>
      <c r="E30" s="57">
        <f ca="1">'מודל כלכלי'!$C$71</f>
        <v>-72000</v>
      </c>
    </row>
    <row r="31" spans="2:5" ht="15" customHeight="1">
      <c r="B31" s="58"/>
      <c r="C31" s="71">
        <f ca="1">היוון!$D$4+C9*365</f>
        <v>49204</v>
      </c>
      <c r="D31" s="22" t="s">
        <v>297</v>
      </c>
      <c r="E31" s="57">
        <f ca="1">'מודל כלכלי'!$C$73</f>
        <v>0</v>
      </c>
    </row>
    <row r="33" spans="2:5" ht="15" customHeight="1">
      <c r="B33" s="15" t="s">
        <v>298</v>
      </c>
      <c r="C33" s="62">
        <f ca="1">XIRR(E12:E31,C12:C31)</f>
        <v>0.17819557785987855</v>
      </c>
      <c r="D33" s="29" t="s">
        <v>299</v>
      </c>
    </row>
    <row r="35" spans="2:5" ht="15" customHeight="1">
      <c r="B35" s="4" t="s">
        <v>300</v>
      </c>
      <c r="C35" s="4"/>
      <c r="D35" s="4"/>
      <c r="E35" s="4"/>
    </row>
    <row r="36" spans="2:5" ht="15" customHeight="1">
      <c r="B36" s="4"/>
      <c r="C36" s="4"/>
      <c r="D36" s="4"/>
      <c r="E36" s="4"/>
    </row>
    <row r="37" spans="2:5" ht="15" customHeight="1">
      <c r="B37" s="4"/>
      <c r="C37" s="4"/>
      <c r="D37" s="4"/>
      <c r="E37" s="4"/>
    </row>
  </sheetData>
  <sheetProtection algorithmName="SHA-512" hashValue="p0xixuFOvk2XCuQM+0wkTY80E4Mhr/ILSlqEKLzM6eEjQ5nNGjNUdQhP5aX8AWSBXMZFKUyNnfqcBt96YE+eFA==" saltValue="0CjUkd+FZMykAJj7Do8hoQ==" spinCount="100000" sheet="1" objects="1" scenarios="1"/>
  <mergeCells count="3">
    <mergeCell ref="B1:E1"/>
    <mergeCell ref="B3:E6"/>
    <mergeCell ref="B35:E37"/>
  </mergeCells>
  <hyperlinks>
    <hyperlink ref="F1" r:id="rId1" location="'תמצית%20עסקה'!A1" xr:uid="{00000000-0004-0000-0500-000000000000}"/>
  </hyperlink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B1:L56"/>
  <sheetViews>
    <sheetView showGridLines="0" rightToLeft="1" zoomScaleNormal="100" workbookViewId="0">
      <pane xSplit="2" ySplit="3" topLeftCell="C4" activePane="bottomRight" state="frozen"/>
      <selection pane="topRight" activeCell="C1" sqref="C1"/>
      <selection pane="bottomLeft" activeCell="A4" sqref="A4"/>
      <selection pane="bottomRight"/>
    </sheetView>
  </sheetViews>
  <sheetFormatPr defaultColWidth="8.6640625" defaultRowHeight="14.4"/>
  <cols>
    <col min="1" max="1" width="2.44140625" customWidth="1"/>
    <col min="2" max="2" width="24" customWidth="1"/>
    <col min="3" max="11" width="12" customWidth="1"/>
  </cols>
  <sheetData>
    <row r="1" spans="2:12" ht="25.5" customHeight="1">
      <c r="B1" s="79" t="s">
        <v>301</v>
      </c>
      <c r="C1" s="79"/>
      <c r="D1" s="79"/>
      <c r="E1" s="79"/>
      <c r="F1" s="79"/>
      <c r="G1" s="79"/>
      <c r="H1" s="79"/>
      <c r="I1" s="79"/>
      <c r="J1" s="79"/>
      <c r="K1" s="79"/>
      <c r="L1" s="27" t="s">
        <v>41</v>
      </c>
    </row>
    <row r="3" spans="2:12" ht="15" customHeight="1">
      <c r="B3" s="4" t="s">
        <v>302</v>
      </c>
      <c r="C3" s="4"/>
      <c r="D3" s="4"/>
      <c r="E3" s="4"/>
      <c r="F3" s="4"/>
      <c r="G3" s="4"/>
      <c r="H3" s="4"/>
      <c r="I3" s="4"/>
      <c r="J3" s="4"/>
      <c r="K3" s="4"/>
    </row>
    <row r="4" spans="2:12" ht="15" customHeight="1">
      <c r="B4" s="4"/>
      <c r="C4" s="4"/>
      <c r="D4" s="4"/>
      <c r="E4" s="4"/>
      <c r="F4" s="4"/>
      <c r="G4" s="4"/>
      <c r="H4" s="4"/>
      <c r="I4" s="4"/>
      <c r="J4" s="4"/>
      <c r="K4" s="4"/>
    </row>
    <row r="5" spans="2:12" ht="15" customHeight="1">
      <c r="B5" s="4"/>
      <c r="C5" s="4"/>
      <c r="D5" s="4"/>
      <c r="E5" s="4"/>
      <c r="F5" s="4"/>
      <c r="G5" s="4"/>
      <c r="H5" s="4"/>
      <c r="I5" s="4"/>
      <c r="J5" s="4"/>
      <c r="K5" s="4"/>
    </row>
    <row r="6" spans="2:12" ht="15" customHeight="1">
      <c r="B6" s="4"/>
      <c r="C6" s="4"/>
      <c r="D6" s="4"/>
      <c r="E6" s="4"/>
      <c r="F6" s="4"/>
      <c r="G6" s="4"/>
      <c r="H6" s="4"/>
      <c r="I6" s="4"/>
      <c r="J6" s="4"/>
      <c r="K6" s="4"/>
    </row>
    <row r="8" spans="2:12" ht="19.5" customHeight="1">
      <c r="B8" s="10" t="s">
        <v>303</v>
      </c>
      <c r="C8" s="10"/>
      <c r="D8" s="10"/>
      <c r="E8" s="10"/>
      <c r="F8" s="10"/>
      <c r="G8" s="10"/>
      <c r="H8" s="10"/>
      <c r="I8" s="10"/>
      <c r="J8" s="10"/>
    </row>
    <row r="9" spans="2:12" ht="15" customHeight="1">
      <c r="B9" s="72" t="s">
        <v>304</v>
      </c>
      <c r="C9" s="64">
        <v>6</v>
      </c>
      <c r="D9" s="64">
        <v>7</v>
      </c>
      <c r="E9" s="64">
        <v>8</v>
      </c>
      <c r="F9" s="64">
        <v>9</v>
      </c>
      <c r="G9" s="64">
        <v>10</v>
      </c>
      <c r="H9" s="64">
        <v>11</v>
      </c>
      <c r="I9" s="64">
        <v>12</v>
      </c>
      <c r="J9" s="64">
        <v>13</v>
      </c>
    </row>
    <row r="10" spans="2:12" ht="15" customHeight="1">
      <c r="B10" s="74">
        <v>0.02</v>
      </c>
      <c r="C10" s="59">
        <f>(((ROUND((IF('מודל כלכלי'!$C$26="פליפ",((-PV(חישובים!$D$21/12,(('הנחות עסקה'!$D$72*'הנחות עסקה'!$I$70)/365*12),(-FV('מודל כלכלי'!$C$20,(6+(('הנחות עסקה'!$D$71-'הנחות עסקה'!$D$72)*'הנחות עסקה'!$I$70)/365),,'מודל כלכלי'!$C$53))))+((0.07*(ROUND('מודל כלכלי'!$C$59*(1+0.02)^6,-4)))+(0.13*(ROUND('מודל כלכלי'!$C$59*(1+0.02)^6,-4)))+(-PV(חישובים!$D$21,((('הנחות עסקה'!$D$72*'הנחות עסקה'!$I$70)-30)/365),,((0.7*(ROUND('מודל כלכלי'!$C$59*(1+0.02)^6,-4)))+(((('הנחות עסקה'!$D$72*'הנחות עסקה'!$I$70)-30)/365)*חישובים!$D$23*(0.7*(ROUND('מודל כלכלי'!$C$59*(1+0.02)^6,-4)))*0.5))))+(-PV(חישובים!$D$21,(('הנחות עסקה'!$D$72*'הנחות עסקה'!$I$70)/365),,((0.1*(ROUND('מודל כלכלי'!$C$59*(1+0.02)^6,-4)))+((('הנחות עסקה'!$D$72*'הנחות עסקה'!$I$70)/365)*חישובים!$D$23*(0.1*(ROUND('מודל כלכלי'!$C$59*(1+0.02)^6,-4)))*0.5)))))+(-(((0.07*(ROUND('מודל כלכלי'!$C$59*(1+0.02)^6,-4)))+(0.13*(ROUND('מודל כלכלי'!$C$59*(1+0.02)^6,-4)))+(-PV(חישובים!$D$21,((('הנחות עסקה'!$D$72*'הנחות עסקה'!$I$70)-30)/365),,((0.7*(ROUND('מודל כלכלי'!$C$59*(1+0.02)^6,-4)))+(((('הנחות עסקה'!$D$72*'הנחות עסקה'!$I$70)-30)/365)*חישובים!$D$23*(0.7*(ROUND('מודל כלכלי'!$C$59*(1+0.02)^6,-4)))*0.5))))+(-PV(חישובים!$D$21,(('הנחות עסקה'!$D$72*'הנחות עסקה'!$I$70)/365),,((0.1*(ROUND('מודל כלכלי'!$C$59*(1+0.02)^6,-4)))+((('הנחות עסקה'!$D$72*'הנחות עסקה'!$I$70)/365)*חישובים!$D$23*(0.1*(ROUND('מודל כלכלי'!$C$59*(1+0.02)^6,-4)))*0.5)))))+(-PV(חישובים!$D$21/12,(('הנחות עסקה'!$D$72*'הנחות עסקה'!$I$70)/365*12),(-FV('מודל כלכלי'!$C$20,(6+(('הנחות עסקה'!$D$71-'הנחות עסקה'!$D$72)*'הנחות עסקה'!$I$70)/365),,'מודל כלכלי'!$C$53)))))*היוון!$C$26)),ROUND('מודל כלכלי'!$C$59*(1+0.02)^6,-4)))+(ROUND(FV('מודל כלכלי'!$C$17/12,6*12,'מודל כלכלי'!$C$48,'מודל כלכלי'!$C$46),-4))+(ROUND(-'מודל כלכלי'!$C$66*(IF('מודל כלכלי'!$C$26="פליפ",((-PV(חישובים!$D$21/12,(('הנחות עסקה'!$D$72*'הנחות עסקה'!$I$70)/365*12),(-FV('מודל כלכלי'!$C$20,(6+(('הנחות עסקה'!$D$71-'הנחות עסקה'!$D$72)*'הנחות עסקה'!$I$70)/365),,'מודל כלכלי'!$C$53))))+((0.07*(ROUND('מודל כלכלי'!$C$59*(1+0.02)^6,-4)))+(0.13*(ROUND('מודל כלכלי'!$C$59*(1+0.02)^6,-4)))+(-PV(חישובים!$D$21,((('הנחות עסקה'!$D$72*'הנחות עסקה'!$I$70)-30)/365),,((0.7*(ROUND('מודל כלכלי'!$C$59*(1+0.02)^6,-4)))+(((('הנחות עסקה'!$D$72*'הנחות עסקה'!$I$70)-30)/365)*חישובים!$D$23*(0.7*(ROUND('מודל כלכלי'!$C$59*(1+0.02)^6,-4)))*0.5))))+(-PV(חישובים!$D$21,(('הנחות עסקה'!$D$72*'הנחות עסקה'!$I$70)/365),,((0.1*(ROUND('מודל כלכלי'!$C$59*(1+0.02)^6,-4)))+((('הנחות עסקה'!$D$72*'הנחות עסקה'!$I$70)/365)*חישובים!$D$23*(0.1*(ROUND('מודל כלכלי'!$C$59*(1+0.02)^6,-4)))*0.5)))))+(-(((0.07*(ROUND('מודל כלכלי'!$C$59*(1+0.02)^6,-4)))+(0.13*(ROUND('מודל כלכלי'!$C$59*(1+0.02)^6,-4)))+(-PV(חישובים!$D$21,((('הנחות עסקה'!$D$72*'הנחות עסקה'!$I$70)-30)/365),,((0.7*(ROUND('מודל כלכלי'!$C$59*(1+0.02)^6,-4)))+(((('הנחות עסקה'!$D$72*'הנחות עסקה'!$I$70)-30)/365)*חישובים!$D$23*(0.7*(ROUND('מודל כלכלי'!$C$59*(1+0.02)^6,-4)))*0.5))))+(-PV(חישובים!$D$21,(('הנחות עסקה'!$D$72*'הנחות עסקה'!$I$70)/365),,((0.1*(ROUND('מודל כלכלי'!$C$59*(1+0.02)^6,-4)))+((('הנחות עסקה'!$D$72*'הנחות עסקה'!$I$70)/365)*חישובים!$D$23*(0.1*(ROUND('מודל כלכלי'!$C$59*(1+0.02)^6,-4)))*0.5)))))+(-PV(חישובים!$D$21/12,(('הנחות עסקה'!$D$72*'הנחות עסקה'!$I$70)/365*12),(-FV('מודל כלכלי'!$C$20,(6+(('הנחות עסקה'!$D$71-'הנחות עסקה'!$D$72)*'הנחות עסקה'!$I$70)/365),,'מודל כלכלי'!$C$53)))))*היוון!$C$26)),ROUND('מודל כלכלי'!$C$59*(1+0.02)^6,-4)))*'מודל כלכלי'!$C$14-'מודל כלכלי'!$C$68*(IF('מודל כלכלי'!$C$26="פליפ",((-PV(חישובים!$D$21/12,(('הנחות עסקה'!$D$72*'הנחות עסקה'!$I$70)/365*12),(-FV('מודל כלכלי'!$C$20,(6+(('הנחות עסקה'!$D$71-'הנחות עסקה'!$D$72)*'הנחות עסקה'!$I$70)/365),,'מודל כלכלי'!$C$53))))+((0.07*(ROUND('מודל כלכלי'!$C$59*(1+0.02)^6,-4)))+(0.13*(ROUND('מודל כלכלי'!$C$59*(1+0.02)^6,-4)))+(-PV(חישובים!$D$21,((('הנחות עסקה'!$D$72*'הנחות עסקה'!$I$70)-30)/365),,((0.7*(ROUND('מודל כלכלי'!$C$59*(1+0.02)^6,-4)))+(((('הנחות עסקה'!$D$72*'הנחות עסקה'!$I$70)-30)/365)*חישובים!$D$23*(0.7*(ROUND('מודל כלכלי'!$C$59*(1+0.02)^6,-4)))*0.5))))+(-PV(חישובים!$D$21,(('הנחות עסקה'!$D$72*'הנחות עסקה'!$I$70)/365),,((0.1*(ROUND('מודל כלכלי'!$C$59*(1+0.02)^6,-4)))+((('הנחות עסקה'!$D$72*'הנחות עסקה'!$I$70)/365)*חישובים!$D$23*(0.1*(ROUND('מודל כלכלי'!$C$59*(1+0.02)^6,-4)))*0.5)))))+(-(((0.07*(ROUND('מודל כלכלי'!$C$59*(1+0.02)^6,-4)))+(0.13*(ROUND('מודל כלכלי'!$C$59*(1+0.02)^6,-4)))+(-PV(חישובים!$D$21,((('הנחות עסקה'!$D$72*'הנחות עסקה'!$I$70)-30)/365),,((0.7*(ROUND('מודל כלכלי'!$C$59*(1+0.02)^6,-4)))+(((('הנחות עסקה'!$D$72*'הנחות עסקה'!$I$70)-30)/365)*חישובים!$D$23*(0.7*(ROUND('מודל כלכלי'!$C$59*(1+0.02)^6,-4)))*0.5))))+(-PV(חישובים!$D$21,(('הנחות עסקה'!$D$72*'הנחות עסקה'!$I$70)/365),,((0.1*(ROUND('מודל כלכלי'!$C$59*(1+0.02)^6,-4)))+((('הנחות עסקה'!$D$72*'הנחות עסקה'!$I$70)/365)*חישובים!$D$23*(0.1*(ROUND('מודל כלכלי'!$C$59*(1+0.02)^6,-4)))*0.5)))))+(-PV(חישובים!$D$21/12,(('הנחות עסקה'!$D$72*'הנחות עסקה'!$I$70)/365*12),(-FV('מודל כלכלי'!$C$20,(6+(('הנחות עסקה'!$D$71-'הנחות עסקה'!$D$72)*'הנחות עסקה'!$I$70)/365),,'מודל כלכלי'!$C$53)))))*היוון!$C$26)),ROUND('מודל כלכלי'!$C$59*(1+0.02)^6,-4)))*'מודל כלכלי'!$C$14+'מודל כלכלי'!$C$70,-3))+(ROUND(-FV(חישובים!$D$22,6*12,'מודל כלכלי'!$C$55),-3))+(-'מודל כלכלי'!$C$45)+(-MAX(0,(IF('מודל כלכלי'!$C$26="פליפ",((-PV(חישובים!$D$21/12,(('הנחות עסקה'!$D$72*'הנחות עסקה'!$I$70)/365*12),(-FV('מודל כלכלי'!$C$20,(6+(('הנחות עסקה'!$D$71-'הנחות עסקה'!$D$72)*'הנחות עסקה'!$I$70)/365),,'מודל כלכלי'!$C$53))))+((0.07*(ROUND('מודל כלכלי'!$C$59*(1+0.02)^6,-4)))+(0.13*(ROUND('מודל כלכלי'!$C$59*(1+0.02)^6,-4)))+(-PV(חישובים!$D$21,((('הנחות עסקה'!$D$72*'הנחות עסקה'!$I$70)-30)/365),,((0.7*(ROUND('מודל כלכלי'!$C$59*(1+0.02)^6,-4)))+(((('הנחות עסקה'!$D$72*'הנחות עסקה'!$I$70)-30)/365)*חישובים!$D$23*(0.7*(ROUND('מודל כלכלי'!$C$59*(1+0.02)^6,-4)))*0.5))))+(-PV(חישובים!$D$21,(('הנחות עסקה'!$D$72*'הנחות עסקה'!$I$70)/365),,((0.1*(ROUND('מודל כלכלי'!$C$59*(1+0.02)^6,-4)))+((('הנחות עסקה'!$D$72*'הנחות עסקה'!$I$70)/365)*חישובים!$D$23*(0.1*(ROUND('מודל כלכלי'!$C$59*(1+0.02)^6,-4)))*0.5)))))+(-(((0.07*(ROUND('מודל כלכלי'!$C$59*(1+0.02)^6,-4)))+(0.13*(ROUND('מודל כלכלי'!$C$59*(1+0.02)^6,-4)))+(-PV(חישובים!$D$21,((('הנחות עסקה'!$D$72*'הנחות עסקה'!$I$70)-30)/365),,((0.7*(ROUND('מודל כלכלי'!$C$59*(1+0.02)^6,-4)))+(((('הנחות עסקה'!$D$72*'הנחות עסקה'!$I$70)-30)/365)*חישובים!$D$23*(0.7*(ROUND('מודל כלכלי'!$C$59*(1+0.02)^6,-4)))*0.5))))+(-PV(חישובים!$D$21,(('הנחות עסקה'!$D$72*'הנחות עסקה'!$I$70)/365),,((0.1*(ROUND('מודל כלכלי'!$C$59*(1+0.02)^6,-4)))+((('הנחות עסקה'!$D$72*'הנחות עסקה'!$I$70)/365)*חישובים!$D$23*(0.1*(ROUND('מודל כלכלי'!$C$59*(1+0.02)^6,-4)))*0.5)))))+(-PV(חישובים!$D$21/12,(('הנחות עסקה'!$D$72*'הנחות עסקה'!$I$70)/365*12),(-FV('מודל כלכלי'!$C$20,(6+(('הנחות עסקה'!$D$71-'הנחות עסקה'!$D$72)*'הנחות עסקה'!$I$70)/365),,'מודל כלכלי'!$C$53)))))*היוון!$C$26)),ROUND('מודל כלכלי'!$C$59*(1+0.02)^6,-4)))-(חישובים!$D$28*(1+חישובים!$D$29)^6))*0.25),-4))+'מודל כלכלי'!$C$45)/'מודל כלכלי'!$C$45)^(1/6)-1</f>
        <v>0.1897549949020938</v>
      </c>
      <c r="D10" s="59">
        <f>(((ROUND((IF('מודל כלכלי'!$C$26="פליפ",((-PV(חישובים!$D$21/12,(('הנחות עסקה'!$D$72*'הנחות עסקה'!$I$70)/365*12),(-FV('מודל כלכלי'!$C$20,(7+(('הנחות עסקה'!$D$71-'הנחות עסקה'!$D$72)*'הנחות עסקה'!$I$70)/365),,'מודל כלכלי'!$C$53))))+((0.07*(ROUND('מודל כלכלי'!$C$59*(1+0.02)^7,-4)))+(0.13*(ROUND('מודל כלכלי'!$C$59*(1+0.02)^7,-4)))+(-PV(חישובים!$D$21,((('הנחות עסקה'!$D$72*'הנחות עסקה'!$I$70)-30)/365),,((0.7*(ROUND('מודל כלכלי'!$C$59*(1+0.02)^7,-4)))+(((('הנחות עסקה'!$D$72*'הנחות עסקה'!$I$70)-30)/365)*חישובים!$D$23*(0.7*(ROUND('מודל כלכלי'!$C$59*(1+0.02)^7,-4)))*0.5))))+(-PV(חישובים!$D$21,(('הנחות עסקה'!$D$72*'הנחות עסקה'!$I$70)/365),,((0.1*(ROUND('מודל כלכלי'!$C$59*(1+0.02)^7,-4)))+((('הנחות עסקה'!$D$72*'הנחות עסקה'!$I$70)/365)*חישובים!$D$23*(0.1*(ROUND('מודל כלכלי'!$C$59*(1+0.02)^7,-4)))*0.5)))))+(-(((0.07*(ROUND('מודל כלכלי'!$C$59*(1+0.02)^7,-4)))+(0.13*(ROUND('מודל כלכלי'!$C$59*(1+0.02)^7,-4)))+(-PV(חישובים!$D$21,((('הנחות עסקה'!$D$72*'הנחות עסקה'!$I$70)-30)/365),,((0.7*(ROUND('מודל כלכלי'!$C$59*(1+0.02)^7,-4)))+(((('הנחות עסקה'!$D$72*'הנחות עסקה'!$I$70)-30)/365)*חישובים!$D$23*(0.7*(ROUND('מודל כלכלי'!$C$59*(1+0.02)^7,-4)))*0.5))))+(-PV(חישובים!$D$21,(('הנחות עסקה'!$D$72*'הנחות עסקה'!$I$70)/365),,((0.1*(ROUND('מודל כלכלי'!$C$59*(1+0.02)^7,-4)))+((('הנחות עסקה'!$D$72*'הנחות עסקה'!$I$70)/365)*חישובים!$D$23*(0.1*(ROUND('מודל כלכלי'!$C$59*(1+0.02)^7,-4)))*0.5)))))+(-PV(חישובים!$D$21/12,(('הנחות עסקה'!$D$72*'הנחות עסקה'!$I$70)/365*12),(-FV('מודל כלכלי'!$C$20,(7+(('הנחות עסקה'!$D$71-'הנחות עסקה'!$D$72)*'הנחות עסקה'!$I$70)/365),,'מודל כלכלי'!$C$53)))))*היוון!$C$26)),ROUND('מודל כלכלי'!$C$59*(1+0.02)^7,-4)))+(ROUND(FV('מודל כלכלי'!$C$17/12,7*12,'מודל כלכלי'!$C$48,'מודל כלכלי'!$C$46),-4))+(ROUND(-'מודל כלכלי'!$C$66*(IF('מודל כלכלי'!$C$26="פליפ",((-PV(חישובים!$D$21/12,(('הנחות עסקה'!$D$72*'הנחות עסקה'!$I$70)/365*12),(-FV('מודל כלכלי'!$C$20,(7+(('הנחות עסקה'!$D$71-'הנחות עסקה'!$D$72)*'הנחות עסקה'!$I$70)/365),,'מודל כלכלי'!$C$53))))+((0.07*(ROUND('מודל כלכלי'!$C$59*(1+0.02)^7,-4)))+(0.13*(ROUND('מודל כלכלי'!$C$59*(1+0.02)^7,-4)))+(-PV(חישובים!$D$21,((('הנחות עסקה'!$D$72*'הנחות עסקה'!$I$70)-30)/365),,((0.7*(ROUND('מודל כלכלי'!$C$59*(1+0.02)^7,-4)))+(((('הנחות עסקה'!$D$72*'הנחות עסקה'!$I$70)-30)/365)*חישובים!$D$23*(0.7*(ROUND('מודל כלכלי'!$C$59*(1+0.02)^7,-4)))*0.5))))+(-PV(חישובים!$D$21,(('הנחות עסקה'!$D$72*'הנחות עסקה'!$I$70)/365),,((0.1*(ROUND('מודל כלכלי'!$C$59*(1+0.02)^7,-4)))+((('הנחות עסקה'!$D$72*'הנחות עסקה'!$I$70)/365)*חישובים!$D$23*(0.1*(ROUND('מודל כלכלי'!$C$59*(1+0.02)^7,-4)))*0.5)))))+(-(((0.07*(ROUND('מודל כלכלי'!$C$59*(1+0.02)^7,-4)))+(0.13*(ROUND('מודל כלכלי'!$C$59*(1+0.02)^7,-4)))+(-PV(חישובים!$D$21,((('הנחות עסקה'!$D$72*'הנחות עסקה'!$I$70)-30)/365),,((0.7*(ROUND('מודל כלכלי'!$C$59*(1+0.02)^7,-4)))+(((('הנחות עסקה'!$D$72*'הנחות עסקה'!$I$70)-30)/365)*חישובים!$D$23*(0.7*(ROUND('מודל כלכלי'!$C$59*(1+0.02)^7,-4)))*0.5))))+(-PV(חישובים!$D$21,(('הנחות עסקה'!$D$72*'הנחות עסקה'!$I$70)/365),,((0.1*(ROUND('מודל כלכלי'!$C$59*(1+0.02)^7,-4)))+((('הנחות עסקה'!$D$72*'הנחות עסקה'!$I$70)/365)*חישובים!$D$23*(0.1*(ROUND('מודל כלכלי'!$C$59*(1+0.02)^7,-4)))*0.5)))))+(-PV(חישובים!$D$21/12,(('הנחות עסקה'!$D$72*'הנחות עסקה'!$I$70)/365*12),(-FV('מודל כלכלי'!$C$20,(7+(('הנחות עסקה'!$D$71-'הנחות עסקה'!$D$72)*'הנחות עסקה'!$I$70)/365),,'מודל כלכלי'!$C$53)))))*היוון!$C$26)),ROUND('מודל כלכלי'!$C$59*(1+0.02)^7,-4)))*'מודל כלכלי'!$C$14-'מודל כלכלי'!$C$68*(IF('מודל כלכלי'!$C$26="פליפ",((-PV(חישובים!$D$21/12,(('הנחות עסקה'!$D$72*'הנחות עסקה'!$I$70)/365*12),(-FV('מודל כלכלי'!$C$20,(7+(('הנחות עסקה'!$D$71-'הנחות עסקה'!$D$72)*'הנחות עסקה'!$I$70)/365),,'מודל כלכלי'!$C$53))))+((0.07*(ROUND('מודל כלכלי'!$C$59*(1+0.02)^7,-4)))+(0.13*(ROUND('מודל כלכלי'!$C$59*(1+0.02)^7,-4)))+(-PV(חישובים!$D$21,((('הנחות עסקה'!$D$72*'הנחות עסקה'!$I$70)-30)/365),,((0.7*(ROUND('מודל כלכלי'!$C$59*(1+0.02)^7,-4)))+(((('הנחות עסקה'!$D$72*'הנחות עסקה'!$I$70)-30)/365)*חישובים!$D$23*(0.7*(ROUND('מודל כלכלי'!$C$59*(1+0.02)^7,-4)))*0.5))))+(-PV(חישובים!$D$21,(('הנחות עסקה'!$D$72*'הנחות עסקה'!$I$70)/365),,((0.1*(ROUND('מודל כלכלי'!$C$59*(1+0.02)^7,-4)))+((('הנחות עסקה'!$D$72*'הנחות עסקה'!$I$70)/365)*חישובים!$D$23*(0.1*(ROUND('מודל כלכלי'!$C$59*(1+0.02)^7,-4)))*0.5)))))+(-(((0.07*(ROUND('מודל כלכלי'!$C$59*(1+0.02)^7,-4)))+(0.13*(ROUND('מודל כלכלי'!$C$59*(1+0.02)^7,-4)))+(-PV(חישובים!$D$21,((('הנחות עסקה'!$D$72*'הנחות עסקה'!$I$70)-30)/365),,((0.7*(ROUND('מודל כלכלי'!$C$59*(1+0.02)^7,-4)))+(((('הנחות עסקה'!$D$72*'הנחות עסקה'!$I$70)-30)/365)*חישובים!$D$23*(0.7*(ROUND('מודל כלכלי'!$C$59*(1+0.02)^7,-4)))*0.5))))+(-PV(חישובים!$D$21,(('הנחות עסקה'!$D$72*'הנחות עסקה'!$I$70)/365),,((0.1*(ROUND('מודל כלכלי'!$C$59*(1+0.02)^7,-4)))+((('הנחות עסקה'!$D$72*'הנחות עסקה'!$I$70)/365)*חישובים!$D$23*(0.1*(ROUND('מודל כלכלי'!$C$59*(1+0.02)^7,-4)))*0.5)))))+(-PV(חישובים!$D$21/12,(('הנחות עסקה'!$D$72*'הנחות עסקה'!$I$70)/365*12),(-FV('מודל כלכלי'!$C$20,(7+(('הנחות עסקה'!$D$71-'הנחות עסקה'!$D$72)*'הנחות עסקה'!$I$70)/365),,'מודל כלכלי'!$C$53)))))*היוון!$C$26)),ROUND('מודל כלכלי'!$C$59*(1+0.02)^7,-4)))*'מודל כלכלי'!$C$14+'מודל כלכלי'!$C$70,-3))+(ROUND(-FV(חישובים!$D$22,7*12,'מודל כלכלי'!$C$55),-3))+(-'מודל כלכלי'!$C$45)+(-MAX(0,(IF('מודל כלכלי'!$C$26="פליפ",((-PV(חישובים!$D$21/12,(('הנחות עסקה'!$D$72*'הנחות עסקה'!$I$70)/365*12),(-FV('מודל כלכלי'!$C$20,(7+(('הנחות עסקה'!$D$71-'הנחות עסקה'!$D$72)*'הנחות עסקה'!$I$70)/365),,'מודל כלכלי'!$C$53))))+((0.07*(ROUND('מודל כלכלי'!$C$59*(1+0.02)^7,-4)))+(0.13*(ROUND('מודל כלכלי'!$C$59*(1+0.02)^7,-4)))+(-PV(חישובים!$D$21,((('הנחות עסקה'!$D$72*'הנחות עסקה'!$I$70)-30)/365),,((0.7*(ROUND('מודל כלכלי'!$C$59*(1+0.02)^7,-4)))+(((('הנחות עסקה'!$D$72*'הנחות עסקה'!$I$70)-30)/365)*חישובים!$D$23*(0.7*(ROUND('מודל כלכלי'!$C$59*(1+0.02)^7,-4)))*0.5))))+(-PV(חישובים!$D$21,(('הנחות עסקה'!$D$72*'הנחות עסקה'!$I$70)/365),,((0.1*(ROUND('מודל כלכלי'!$C$59*(1+0.02)^7,-4)))+((('הנחות עסקה'!$D$72*'הנחות עסקה'!$I$70)/365)*חישובים!$D$23*(0.1*(ROUND('מודל כלכלי'!$C$59*(1+0.02)^7,-4)))*0.5)))))+(-(((0.07*(ROUND('מודל כלכלי'!$C$59*(1+0.02)^7,-4)))+(0.13*(ROUND('מודל כלכלי'!$C$59*(1+0.02)^7,-4)))+(-PV(חישובים!$D$21,((('הנחות עסקה'!$D$72*'הנחות עסקה'!$I$70)-30)/365),,((0.7*(ROUND('מודל כלכלי'!$C$59*(1+0.02)^7,-4)))+(((('הנחות עסקה'!$D$72*'הנחות עסקה'!$I$70)-30)/365)*חישובים!$D$23*(0.7*(ROUND('מודל כלכלי'!$C$59*(1+0.02)^7,-4)))*0.5))))+(-PV(חישובים!$D$21,(('הנחות עסקה'!$D$72*'הנחות עסקה'!$I$70)/365),,((0.1*(ROUND('מודל כלכלי'!$C$59*(1+0.02)^7,-4)))+((('הנחות עסקה'!$D$72*'הנחות עסקה'!$I$70)/365)*חישובים!$D$23*(0.1*(ROUND('מודל כלכלי'!$C$59*(1+0.02)^7,-4)))*0.5)))))+(-PV(חישובים!$D$21/12,(('הנחות עסקה'!$D$72*'הנחות עסקה'!$I$70)/365*12),(-FV('מודל כלכלי'!$C$20,(7+(('הנחות עסקה'!$D$71-'הנחות עסקה'!$D$72)*'הנחות עסקה'!$I$70)/365),,'מודל כלכלי'!$C$53)))))*היוון!$C$26)),ROUND('מודל כלכלי'!$C$59*(1+0.02)^7,-4)))-(חישובים!$D$28*(1+חישובים!$D$29)^7))*0.25),-4))+'מודל כלכלי'!$C$45)/'מודל כלכלי'!$C$45)^(1/7)-1</f>
        <v>0.1658384065660985</v>
      </c>
      <c r="E10" s="75">
        <f>(((ROUND((IF('מודל כלכלי'!$C$26="פליפ",((-PV(חישובים!$D$21/12,(('הנחות עסקה'!$D$72*'הנחות עסקה'!$I$70)/365*12),(-FV('מודל כלכלי'!$C$20,(8+(('הנחות עסקה'!$D$71-'הנחות עסקה'!$D$72)*'הנחות עסקה'!$I$70)/365),,'מודל כלכלי'!$C$53))))+((0.07*(ROUND('מודל כלכלי'!$C$59*(1+0.02)^8,-4)))+(0.13*(ROUND('מודל כלכלי'!$C$59*(1+0.02)^8,-4)))+(-PV(חישובים!$D$21,((('הנחות עסקה'!$D$72*'הנחות עסקה'!$I$70)-30)/365),,((0.7*(ROUND('מודל כלכלי'!$C$59*(1+0.02)^8,-4)))+(((('הנחות עסקה'!$D$72*'הנחות עסקה'!$I$70)-30)/365)*חישובים!$D$23*(0.7*(ROUND('מודל כלכלי'!$C$59*(1+0.02)^8,-4)))*0.5))))+(-PV(חישובים!$D$21,(('הנחות עסקה'!$D$72*'הנחות עסקה'!$I$70)/365),,((0.1*(ROUND('מודל כלכלי'!$C$59*(1+0.02)^8,-4)))+((('הנחות עסקה'!$D$72*'הנחות עסקה'!$I$70)/365)*חישובים!$D$23*(0.1*(ROUND('מודל כלכלי'!$C$59*(1+0.02)^8,-4)))*0.5)))))+(-(((0.07*(ROUND('מודל כלכלי'!$C$59*(1+0.02)^8,-4)))+(0.13*(ROUND('מודל כלכלי'!$C$59*(1+0.02)^8,-4)))+(-PV(חישובים!$D$21,((('הנחות עסקה'!$D$72*'הנחות עסקה'!$I$70)-30)/365),,((0.7*(ROUND('מודל כלכלי'!$C$59*(1+0.02)^8,-4)))+(((('הנחות עסקה'!$D$72*'הנחות עסקה'!$I$70)-30)/365)*חישובים!$D$23*(0.7*(ROUND('מודל כלכלי'!$C$59*(1+0.02)^8,-4)))*0.5))))+(-PV(חישובים!$D$21,(('הנחות עסקה'!$D$72*'הנחות עסקה'!$I$70)/365),,((0.1*(ROUND('מודל כלכלי'!$C$59*(1+0.02)^8,-4)))+((('הנחות עסקה'!$D$72*'הנחות עסקה'!$I$70)/365)*חישובים!$D$23*(0.1*(ROUND('מודל כלכלי'!$C$59*(1+0.02)^8,-4)))*0.5)))))+(-PV(חישובים!$D$21/12,(('הנחות עסקה'!$D$72*'הנחות עסקה'!$I$70)/365*12),(-FV('מודל כלכלי'!$C$20,(8+(('הנחות עסקה'!$D$71-'הנחות עסקה'!$D$72)*'הנחות עסקה'!$I$70)/365),,'מודל כלכלי'!$C$53)))))*היוון!$C$26)),ROUND('מודל כלכלי'!$C$59*(1+0.02)^8,-4)))+(ROUND(FV('מודל כלכלי'!$C$17/12,8*12,'מודל כלכלי'!$C$48,'מודל כלכלי'!$C$46),-4))+(ROUND(-'מודל כלכלי'!$C$66*(IF('מודל כלכלי'!$C$26="פליפ",((-PV(חישובים!$D$21/12,(('הנחות עסקה'!$D$72*'הנחות עסקה'!$I$70)/365*12),(-FV('מודל כלכלי'!$C$20,(8+(('הנחות עסקה'!$D$71-'הנחות עסקה'!$D$72)*'הנחות עסקה'!$I$70)/365),,'מודל כלכלי'!$C$53))))+((0.07*(ROUND('מודל כלכלי'!$C$59*(1+0.02)^8,-4)))+(0.13*(ROUND('מודל כלכלי'!$C$59*(1+0.02)^8,-4)))+(-PV(חישובים!$D$21,((('הנחות עסקה'!$D$72*'הנחות עסקה'!$I$70)-30)/365),,((0.7*(ROUND('מודל כלכלי'!$C$59*(1+0.02)^8,-4)))+(((('הנחות עסקה'!$D$72*'הנחות עסקה'!$I$70)-30)/365)*חישובים!$D$23*(0.7*(ROUND('מודל כלכלי'!$C$59*(1+0.02)^8,-4)))*0.5))))+(-PV(חישובים!$D$21,(('הנחות עסקה'!$D$72*'הנחות עסקה'!$I$70)/365),,((0.1*(ROUND('מודל כלכלי'!$C$59*(1+0.02)^8,-4)))+((('הנחות עסקה'!$D$72*'הנחות עסקה'!$I$70)/365)*חישובים!$D$23*(0.1*(ROUND('מודל כלכלי'!$C$59*(1+0.02)^8,-4)))*0.5)))))+(-(((0.07*(ROUND('מודל כלכלי'!$C$59*(1+0.02)^8,-4)))+(0.13*(ROUND('מודל כלכלי'!$C$59*(1+0.02)^8,-4)))+(-PV(חישובים!$D$21,((('הנחות עסקה'!$D$72*'הנחות עסקה'!$I$70)-30)/365),,((0.7*(ROUND('מודל כלכלי'!$C$59*(1+0.02)^8,-4)))+(((('הנחות עסקה'!$D$72*'הנחות עסקה'!$I$70)-30)/365)*חישובים!$D$23*(0.7*(ROUND('מודל כלכלי'!$C$59*(1+0.02)^8,-4)))*0.5))))+(-PV(חישובים!$D$21,(('הנחות עסקה'!$D$72*'הנחות עסקה'!$I$70)/365),,((0.1*(ROUND('מודל כלכלי'!$C$59*(1+0.02)^8,-4)))+((('הנחות עסקה'!$D$72*'הנחות עסקה'!$I$70)/365)*חישובים!$D$23*(0.1*(ROUND('מודל כלכלי'!$C$59*(1+0.02)^8,-4)))*0.5)))))+(-PV(חישובים!$D$21/12,(('הנחות עסקה'!$D$72*'הנחות עסקה'!$I$70)/365*12),(-FV('מודל כלכלי'!$C$20,(8+(('הנחות עסקה'!$D$71-'הנחות עסקה'!$D$72)*'הנחות עסקה'!$I$70)/365),,'מודל כלכלי'!$C$53)))))*היוון!$C$26)),ROUND('מודל כלכלי'!$C$59*(1+0.02)^8,-4)))*'מודל כלכלי'!$C$14-'מודל כלכלי'!$C$68*(IF('מודל כלכלי'!$C$26="פליפ",((-PV(חישובים!$D$21/12,(('הנחות עסקה'!$D$72*'הנחות עסקה'!$I$70)/365*12),(-FV('מודל כלכלי'!$C$20,(8+(('הנחות עסקה'!$D$71-'הנחות עסקה'!$D$72)*'הנחות עסקה'!$I$70)/365),,'מודל כלכלי'!$C$53))))+((0.07*(ROUND('מודל כלכלי'!$C$59*(1+0.02)^8,-4)))+(0.13*(ROUND('מודל כלכלי'!$C$59*(1+0.02)^8,-4)))+(-PV(חישובים!$D$21,((('הנחות עסקה'!$D$72*'הנחות עסקה'!$I$70)-30)/365),,((0.7*(ROUND('מודל כלכלי'!$C$59*(1+0.02)^8,-4)))+(((('הנחות עסקה'!$D$72*'הנחות עסקה'!$I$70)-30)/365)*חישובים!$D$23*(0.7*(ROUND('מודל כלכלי'!$C$59*(1+0.02)^8,-4)))*0.5))))+(-PV(חישובים!$D$21,(('הנחות עסקה'!$D$72*'הנחות עסקה'!$I$70)/365),,((0.1*(ROUND('מודל כלכלי'!$C$59*(1+0.02)^8,-4)))+((('הנחות עסקה'!$D$72*'הנחות עסקה'!$I$70)/365)*חישובים!$D$23*(0.1*(ROUND('מודל כלכלי'!$C$59*(1+0.02)^8,-4)))*0.5)))))+(-(((0.07*(ROUND('מודל כלכלי'!$C$59*(1+0.02)^8,-4)))+(0.13*(ROUND('מודל כלכלי'!$C$59*(1+0.02)^8,-4)))+(-PV(חישובים!$D$21,((('הנחות עסקה'!$D$72*'הנחות עסקה'!$I$70)-30)/365),,((0.7*(ROUND('מודל כלכלי'!$C$59*(1+0.02)^8,-4)))+(((('הנחות עסקה'!$D$72*'הנחות עסקה'!$I$70)-30)/365)*חישובים!$D$23*(0.7*(ROUND('מודל כלכלי'!$C$59*(1+0.02)^8,-4)))*0.5))))+(-PV(חישובים!$D$21,(('הנחות עסקה'!$D$72*'הנחות עסקה'!$I$70)/365),,((0.1*(ROUND('מודל כלכלי'!$C$59*(1+0.02)^8,-4)))+((('הנחות עסקה'!$D$72*'הנחות עסקה'!$I$70)/365)*חישובים!$D$23*(0.1*(ROUND('מודל כלכלי'!$C$59*(1+0.02)^8,-4)))*0.5)))))+(-PV(חישובים!$D$21/12,(('הנחות עסקה'!$D$72*'הנחות עסקה'!$I$70)/365*12),(-FV('מודל כלכלי'!$C$20,(8+(('הנחות עסקה'!$D$71-'הנחות עסקה'!$D$72)*'הנחות עסקה'!$I$70)/365),,'מודל כלכלי'!$C$53)))))*היוון!$C$26)),ROUND('מודל כלכלי'!$C$59*(1+0.02)^8,-4)))*'מודל כלכלי'!$C$14+'מודל כלכלי'!$C$70,-3))+(ROUND(-FV(חישובים!$D$22,8*12,'מודל כלכלי'!$C$55),-3))+(-'מודל כלכלי'!$C$45)+(-MAX(0,(IF('מודל כלכלי'!$C$26="פליפ",((-PV(חישובים!$D$21/12,(('הנחות עסקה'!$D$72*'הנחות עסקה'!$I$70)/365*12),(-FV('מודל כלכלי'!$C$20,(8+(('הנחות עסקה'!$D$71-'הנחות עסקה'!$D$72)*'הנחות עסקה'!$I$70)/365),,'מודל כלכלי'!$C$53))))+((0.07*(ROUND('מודל כלכלי'!$C$59*(1+0.02)^8,-4)))+(0.13*(ROUND('מודל כלכלי'!$C$59*(1+0.02)^8,-4)))+(-PV(חישובים!$D$21,((('הנחות עסקה'!$D$72*'הנחות עסקה'!$I$70)-30)/365),,((0.7*(ROUND('מודל כלכלי'!$C$59*(1+0.02)^8,-4)))+(((('הנחות עסקה'!$D$72*'הנחות עסקה'!$I$70)-30)/365)*חישובים!$D$23*(0.7*(ROUND('מודל כלכלי'!$C$59*(1+0.02)^8,-4)))*0.5))))+(-PV(חישובים!$D$21,(('הנחות עסקה'!$D$72*'הנחות עסקה'!$I$70)/365),,((0.1*(ROUND('מודל כלכלי'!$C$59*(1+0.02)^8,-4)))+((('הנחות עסקה'!$D$72*'הנחות עסקה'!$I$70)/365)*חישובים!$D$23*(0.1*(ROUND('מודל כלכלי'!$C$59*(1+0.02)^8,-4)))*0.5)))))+(-(((0.07*(ROUND('מודל כלכלי'!$C$59*(1+0.02)^8,-4)))+(0.13*(ROUND('מודל כלכלי'!$C$59*(1+0.02)^8,-4)))+(-PV(חישובים!$D$21,((('הנחות עסקה'!$D$72*'הנחות עסקה'!$I$70)-30)/365),,((0.7*(ROUND('מודל כלכלי'!$C$59*(1+0.02)^8,-4)))+(((('הנחות עסקה'!$D$72*'הנחות עסקה'!$I$70)-30)/365)*חישובים!$D$23*(0.7*(ROUND('מודל כלכלי'!$C$59*(1+0.02)^8,-4)))*0.5))))+(-PV(חישובים!$D$21,(('הנחות עסקה'!$D$72*'הנחות עסקה'!$I$70)/365),,((0.1*(ROUND('מודל כלכלי'!$C$59*(1+0.02)^8,-4)))+((('הנחות עסקה'!$D$72*'הנחות עסקה'!$I$70)/365)*חישובים!$D$23*(0.1*(ROUND('מודל כלכלי'!$C$59*(1+0.02)^8,-4)))*0.5)))))+(-PV(חישובים!$D$21/12,(('הנחות עסקה'!$D$72*'הנחות עסקה'!$I$70)/365*12),(-FV('מודל כלכלי'!$C$20,(8+(('הנחות עסקה'!$D$71-'הנחות עסקה'!$D$72)*'הנחות עסקה'!$I$70)/365),,'מודל כלכלי'!$C$53)))))*היוון!$C$26)),ROUND('מודל כלכלי'!$C$59*(1+0.02)^8,-4)))-(חישובים!$D$28*(1+חישובים!$D$29)^8))*0.25),-4))+'מודל כלכלי'!$C$45)/'מודל כלכלי'!$C$45)^(1/8)-1</f>
        <v>0.14662862145517019</v>
      </c>
      <c r="F10" s="59">
        <f>(((ROUND((IF('מודל כלכלי'!$C$26="פליפ",((-PV(חישובים!$D$21/12,(('הנחות עסקה'!$D$72*'הנחות עסקה'!$I$70)/365*12),(-FV('מודל כלכלי'!$C$20,(9+(('הנחות עסקה'!$D$71-'הנחות עסקה'!$D$72)*'הנחות עסקה'!$I$70)/365),,'מודל כלכלי'!$C$53))))+((0.07*(ROUND('מודל כלכלי'!$C$59*(1+0.02)^9,-4)))+(0.13*(ROUND('מודל כלכלי'!$C$59*(1+0.02)^9,-4)))+(-PV(חישובים!$D$21,((('הנחות עסקה'!$D$72*'הנחות עסקה'!$I$70)-30)/365),,((0.7*(ROUND('מודל כלכלי'!$C$59*(1+0.02)^9,-4)))+(((('הנחות עסקה'!$D$72*'הנחות עסקה'!$I$70)-30)/365)*חישובים!$D$23*(0.7*(ROUND('מודל כלכלי'!$C$59*(1+0.02)^9,-4)))*0.5))))+(-PV(חישובים!$D$21,(('הנחות עסקה'!$D$72*'הנחות עסקה'!$I$70)/365),,((0.1*(ROUND('מודל כלכלי'!$C$59*(1+0.02)^9,-4)))+((('הנחות עסקה'!$D$72*'הנחות עסקה'!$I$70)/365)*חישובים!$D$23*(0.1*(ROUND('מודל כלכלי'!$C$59*(1+0.02)^9,-4)))*0.5)))))+(-(((0.07*(ROUND('מודל כלכלי'!$C$59*(1+0.02)^9,-4)))+(0.13*(ROUND('מודל כלכלי'!$C$59*(1+0.02)^9,-4)))+(-PV(חישובים!$D$21,((('הנחות עסקה'!$D$72*'הנחות עסקה'!$I$70)-30)/365),,((0.7*(ROUND('מודל כלכלי'!$C$59*(1+0.02)^9,-4)))+(((('הנחות עסקה'!$D$72*'הנחות עסקה'!$I$70)-30)/365)*חישובים!$D$23*(0.7*(ROUND('מודל כלכלי'!$C$59*(1+0.02)^9,-4)))*0.5))))+(-PV(חישובים!$D$21,(('הנחות עסקה'!$D$72*'הנחות עסקה'!$I$70)/365),,((0.1*(ROUND('מודל כלכלי'!$C$59*(1+0.02)^9,-4)))+((('הנחות עסקה'!$D$72*'הנחות עסקה'!$I$70)/365)*חישובים!$D$23*(0.1*(ROUND('מודל כלכלי'!$C$59*(1+0.02)^9,-4)))*0.5)))))+(-PV(חישובים!$D$21/12,(('הנחות עסקה'!$D$72*'הנחות עסקה'!$I$70)/365*12),(-FV('מודל כלכלי'!$C$20,(9+(('הנחות עסקה'!$D$71-'הנחות עסקה'!$D$72)*'הנחות עסקה'!$I$70)/365),,'מודל כלכלי'!$C$53)))))*היוון!$C$26)),ROUND('מודל כלכלי'!$C$59*(1+0.02)^9,-4)))+(ROUND(FV('מודל כלכלי'!$C$17/12,9*12,'מודל כלכלי'!$C$48,'מודל כלכלי'!$C$46),-4))+(ROUND(-'מודל כלכלי'!$C$66*(IF('מודל כלכלי'!$C$26="פליפ",((-PV(חישובים!$D$21/12,(('הנחות עסקה'!$D$72*'הנחות עסקה'!$I$70)/365*12),(-FV('מודל כלכלי'!$C$20,(9+(('הנחות עסקה'!$D$71-'הנחות עסקה'!$D$72)*'הנחות עסקה'!$I$70)/365),,'מודל כלכלי'!$C$53))))+((0.07*(ROUND('מודל כלכלי'!$C$59*(1+0.02)^9,-4)))+(0.13*(ROUND('מודל כלכלי'!$C$59*(1+0.02)^9,-4)))+(-PV(חישובים!$D$21,((('הנחות עסקה'!$D$72*'הנחות עסקה'!$I$70)-30)/365),,((0.7*(ROUND('מודל כלכלי'!$C$59*(1+0.02)^9,-4)))+(((('הנחות עסקה'!$D$72*'הנחות עסקה'!$I$70)-30)/365)*חישובים!$D$23*(0.7*(ROUND('מודל כלכלי'!$C$59*(1+0.02)^9,-4)))*0.5))))+(-PV(חישובים!$D$21,(('הנחות עסקה'!$D$72*'הנחות עסקה'!$I$70)/365),,((0.1*(ROUND('מודל כלכלי'!$C$59*(1+0.02)^9,-4)))+((('הנחות עסקה'!$D$72*'הנחות עסקה'!$I$70)/365)*חישובים!$D$23*(0.1*(ROUND('מודל כלכלי'!$C$59*(1+0.02)^9,-4)))*0.5)))))+(-(((0.07*(ROUND('מודל כלכלי'!$C$59*(1+0.02)^9,-4)))+(0.13*(ROUND('מודל כלכלי'!$C$59*(1+0.02)^9,-4)))+(-PV(חישובים!$D$21,((('הנחות עסקה'!$D$72*'הנחות עסקה'!$I$70)-30)/365),,((0.7*(ROUND('מודל כלכלי'!$C$59*(1+0.02)^9,-4)))+(((('הנחות עסקה'!$D$72*'הנחות עסקה'!$I$70)-30)/365)*חישובים!$D$23*(0.7*(ROUND('מודל כלכלי'!$C$59*(1+0.02)^9,-4)))*0.5))))+(-PV(חישובים!$D$21,(('הנחות עסקה'!$D$72*'הנחות עסקה'!$I$70)/365),,((0.1*(ROUND('מודל כלכלי'!$C$59*(1+0.02)^9,-4)))+((('הנחות עסקה'!$D$72*'הנחות עסקה'!$I$70)/365)*חישובים!$D$23*(0.1*(ROUND('מודל כלכלי'!$C$59*(1+0.02)^9,-4)))*0.5)))))+(-PV(חישובים!$D$21/12,(('הנחות עסקה'!$D$72*'הנחות עסקה'!$I$70)/365*12),(-FV('מודל כלכלי'!$C$20,(9+(('הנחות עסקה'!$D$71-'הנחות עסקה'!$D$72)*'הנחות עסקה'!$I$70)/365),,'מודל כלכלי'!$C$53)))))*היוון!$C$26)),ROUND('מודל כלכלי'!$C$59*(1+0.02)^9,-4)))*'מודל כלכלי'!$C$14-'מודל כלכלי'!$C$68*(IF('מודל כלכלי'!$C$26="פליפ",((-PV(חישובים!$D$21/12,(('הנחות עסקה'!$D$72*'הנחות עסקה'!$I$70)/365*12),(-FV('מודל כלכלי'!$C$20,(9+(('הנחות עסקה'!$D$71-'הנחות עסקה'!$D$72)*'הנחות עסקה'!$I$70)/365),,'מודל כלכלי'!$C$53))))+((0.07*(ROUND('מודל כלכלי'!$C$59*(1+0.02)^9,-4)))+(0.13*(ROUND('מודל כלכלי'!$C$59*(1+0.02)^9,-4)))+(-PV(חישובים!$D$21,((('הנחות עסקה'!$D$72*'הנחות עסקה'!$I$70)-30)/365),,((0.7*(ROUND('מודל כלכלי'!$C$59*(1+0.02)^9,-4)))+(((('הנחות עסקה'!$D$72*'הנחות עסקה'!$I$70)-30)/365)*חישובים!$D$23*(0.7*(ROUND('מודל כלכלי'!$C$59*(1+0.02)^9,-4)))*0.5))))+(-PV(חישובים!$D$21,(('הנחות עסקה'!$D$72*'הנחות עסקה'!$I$70)/365),,((0.1*(ROUND('מודל כלכלי'!$C$59*(1+0.02)^9,-4)))+((('הנחות עסקה'!$D$72*'הנחות עסקה'!$I$70)/365)*חישובים!$D$23*(0.1*(ROUND('מודל כלכלי'!$C$59*(1+0.02)^9,-4)))*0.5)))))+(-(((0.07*(ROUND('מודל כלכלי'!$C$59*(1+0.02)^9,-4)))+(0.13*(ROUND('מודל כלכלי'!$C$59*(1+0.02)^9,-4)))+(-PV(חישובים!$D$21,((('הנחות עסקה'!$D$72*'הנחות עסקה'!$I$70)-30)/365),,((0.7*(ROUND('מודל כלכלי'!$C$59*(1+0.02)^9,-4)))+(((('הנחות עסקה'!$D$72*'הנחות עסקה'!$I$70)-30)/365)*חישובים!$D$23*(0.7*(ROUND('מודל כלכלי'!$C$59*(1+0.02)^9,-4)))*0.5))))+(-PV(חישובים!$D$21,(('הנחות עסקה'!$D$72*'הנחות עסקה'!$I$70)/365),,((0.1*(ROUND('מודל כלכלי'!$C$59*(1+0.02)^9,-4)))+((('הנחות עסקה'!$D$72*'הנחות עסקה'!$I$70)/365)*חישובים!$D$23*(0.1*(ROUND('מודל כלכלי'!$C$59*(1+0.02)^9,-4)))*0.5)))))+(-PV(חישובים!$D$21/12,(('הנחות עסקה'!$D$72*'הנחות עסקה'!$I$70)/365*12),(-FV('מודל כלכלי'!$C$20,(9+(('הנחות עסקה'!$D$71-'הנחות עסקה'!$D$72)*'הנחות עסקה'!$I$70)/365),,'מודל כלכלי'!$C$53)))))*היוון!$C$26)),ROUND('מודל כלכלי'!$C$59*(1+0.02)^9,-4)))*'מודל כלכלי'!$C$14+'מודל כלכלי'!$C$70,-3))+(ROUND(-FV(חישובים!$D$22,9*12,'מודל כלכלי'!$C$55),-3))+(-'מודל כלכלי'!$C$45)+(-MAX(0,(IF('מודל כלכלי'!$C$26="פליפ",((-PV(חישובים!$D$21/12,(('הנחות עסקה'!$D$72*'הנחות עסקה'!$I$70)/365*12),(-FV('מודל כלכלי'!$C$20,(9+(('הנחות עסקה'!$D$71-'הנחות עסקה'!$D$72)*'הנחות עסקה'!$I$70)/365),,'מודל כלכלי'!$C$53))))+((0.07*(ROUND('מודל כלכלי'!$C$59*(1+0.02)^9,-4)))+(0.13*(ROUND('מודל כלכלי'!$C$59*(1+0.02)^9,-4)))+(-PV(חישובים!$D$21,((('הנחות עסקה'!$D$72*'הנחות עסקה'!$I$70)-30)/365),,((0.7*(ROUND('מודל כלכלי'!$C$59*(1+0.02)^9,-4)))+(((('הנחות עסקה'!$D$72*'הנחות עסקה'!$I$70)-30)/365)*חישובים!$D$23*(0.7*(ROUND('מודל כלכלי'!$C$59*(1+0.02)^9,-4)))*0.5))))+(-PV(חישובים!$D$21,(('הנחות עסקה'!$D$72*'הנחות עסקה'!$I$70)/365),,((0.1*(ROUND('מודל כלכלי'!$C$59*(1+0.02)^9,-4)))+((('הנחות עסקה'!$D$72*'הנחות עסקה'!$I$70)/365)*חישובים!$D$23*(0.1*(ROUND('מודל כלכלי'!$C$59*(1+0.02)^9,-4)))*0.5)))))+(-(((0.07*(ROUND('מודל כלכלי'!$C$59*(1+0.02)^9,-4)))+(0.13*(ROUND('מודל כלכלי'!$C$59*(1+0.02)^9,-4)))+(-PV(חישובים!$D$21,((('הנחות עסקה'!$D$72*'הנחות עסקה'!$I$70)-30)/365),,((0.7*(ROUND('מודל כלכלי'!$C$59*(1+0.02)^9,-4)))+(((('הנחות עסקה'!$D$72*'הנחות עסקה'!$I$70)-30)/365)*חישובים!$D$23*(0.7*(ROUND('מודל כלכלי'!$C$59*(1+0.02)^9,-4)))*0.5))))+(-PV(חישובים!$D$21,(('הנחות עסקה'!$D$72*'הנחות עסקה'!$I$70)/365),,((0.1*(ROUND('מודל כלכלי'!$C$59*(1+0.02)^9,-4)))+((('הנחות עסקה'!$D$72*'הנחות עסקה'!$I$70)/365)*חישובים!$D$23*(0.1*(ROUND('מודל כלכלי'!$C$59*(1+0.02)^9,-4)))*0.5)))))+(-PV(חישובים!$D$21/12,(('הנחות עסקה'!$D$72*'הנחות עסקה'!$I$70)/365*12),(-FV('מודל כלכלי'!$C$20,(9+(('הנחות עסקה'!$D$71-'הנחות עסקה'!$D$72)*'הנחות עסקה'!$I$70)/365),,'מודל כלכלי'!$C$53)))))*היוון!$C$26)),ROUND('מודל כלכלי'!$C$59*(1+0.02)^9,-4)))-(חישובים!$D$28*(1+חישובים!$D$29)^9))*0.25),-4))+'מודל כלכלי'!$C$45)/'מודל כלכלי'!$C$45)^(1/9)-1</f>
        <v>0.13310137018459178</v>
      </c>
      <c r="G10" s="59">
        <f>(((ROUND((IF('מודל כלכלי'!$C$26="פליפ",((-PV(חישובים!$D$21/12,(('הנחות עסקה'!$D$72*'הנחות עסקה'!$I$70)/365*12),(-FV('מודל כלכלי'!$C$20,(10+(('הנחות עסקה'!$D$71-'הנחות עסקה'!$D$72)*'הנחות עסקה'!$I$70)/365),,'מודל כלכלי'!$C$53))))+((0.07*(ROUND('מודל כלכלי'!$C$59*(1+0.02)^10,-4)))+(0.13*(ROUND('מודל כלכלי'!$C$59*(1+0.02)^10,-4)))+(-PV(חישובים!$D$21,((('הנחות עסקה'!$D$72*'הנחות עסקה'!$I$70)-30)/365),,((0.7*(ROUND('מודל כלכלי'!$C$59*(1+0.02)^10,-4)))+(((('הנחות עסקה'!$D$72*'הנחות עסקה'!$I$70)-30)/365)*חישובים!$D$23*(0.7*(ROUND('מודל כלכלי'!$C$59*(1+0.02)^10,-4)))*0.5))))+(-PV(חישובים!$D$21,(('הנחות עסקה'!$D$72*'הנחות עסקה'!$I$70)/365),,((0.1*(ROUND('מודל כלכלי'!$C$59*(1+0.02)^10,-4)))+((('הנחות עסקה'!$D$72*'הנחות עסקה'!$I$70)/365)*חישובים!$D$23*(0.1*(ROUND('מודל כלכלי'!$C$59*(1+0.02)^10,-4)))*0.5)))))+(-(((0.07*(ROUND('מודל כלכלי'!$C$59*(1+0.02)^10,-4)))+(0.13*(ROUND('מודל כלכלי'!$C$59*(1+0.02)^10,-4)))+(-PV(חישובים!$D$21,((('הנחות עסקה'!$D$72*'הנחות עסקה'!$I$70)-30)/365),,((0.7*(ROUND('מודל כלכלי'!$C$59*(1+0.02)^10,-4)))+(((('הנחות עסקה'!$D$72*'הנחות עסקה'!$I$70)-30)/365)*חישובים!$D$23*(0.7*(ROUND('מודל כלכלי'!$C$59*(1+0.02)^10,-4)))*0.5))))+(-PV(חישובים!$D$21,(('הנחות עסקה'!$D$72*'הנחות עסקה'!$I$70)/365),,((0.1*(ROUND('מודל כלכלי'!$C$59*(1+0.02)^10,-4)))+((('הנחות עסקה'!$D$72*'הנחות עסקה'!$I$70)/365)*חישובים!$D$23*(0.1*(ROUND('מודל כלכלי'!$C$59*(1+0.02)^10,-4)))*0.5)))))+(-PV(חישובים!$D$21/12,(('הנחות עסקה'!$D$72*'הנחות עסקה'!$I$70)/365*12),(-FV('מודל כלכלי'!$C$20,(10+(('הנחות עסקה'!$D$71-'הנחות עסקה'!$D$72)*'הנחות עסקה'!$I$70)/365),,'מודל כלכלי'!$C$53)))))*היוון!$C$26)),ROUND('מודל כלכלי'!$C$59*(1+0.02)^10,-4)))+(ROUND(FV('מודל כלכלי'!$C$17/12,10*12,'מודל כלכלי'!$C$48,'מודל כלכלי'!$C$46),-4))+(ROUND(-'מודל כלכלי'!$C$66*(IF('מודל כלכלי'!$C$26="פליפ",((-PV(חישובים!$D$21/12,(('הנחות עסקה'!$D$72*'הנחות עסקה'!$I$70)/365*12),(-FV('מודל כלכלי'!$C$20,(10+(('הנחות עסקה'!$D$71-'הנחות עסקה'!$D$72)*'הנחות עסקה'!$I$70)/365),,'מודל כלכלי'!$C$53))))+((0.07*(ROUND('מודל כלכלי'!$C$59*(1+0.02)^10,-4)))+(0.13*(ROUND('מודל כלכלי'!$C$59*(1+0.02)^10,-4)))+(-PV(חישובים!$D$21,((('הנחות עסקה'!$D$72*'הנחות עסקה'!$I$70)-30)/365),,((0.7*(ROUND('מודל כלכלי'!$C$59*(1+0.02)^10,-4)))+(((('הנחות עסקה'!$D$72*'הנחות עסקה'!$I$70)-30)/365)*חישובים!$D$23*(0.7*(ROUND('מודל כלכלי'!$C$59*(1+0.02)^10,-4)))*0.5))))+(-PV(חישובים!$D$21,(('הנחות עסקה'!$D$72*'הנחות עסקה'!$I$70)/365),,((0.1*(ROUND('מודל כלכלי'!$C$59*(1+0.02)^10,-4)))+((('הנחות עסקה'!$D$72*'הנחות עסקה'!$I$70)/365)*חישובים!$D$23*(0.1*(ROUND('מודל כלכלי'!$C$59*(1+0.02)^10,-4)))*0.5)))))+(-(((0.07*(ROUND('מודל כלכלי'!$C$59*(1+0.02)^10,-4)))+(0.13*(ROUND('מודל כלכלי'!$C$59*(1+0.02)^10,-4)))+(-PV(חישובים!$D$21,((('הנחות עסקה'!$D$72*'הנחות עסקה'!$I$70)-30)/365),,((0.7*(ROUND('מודל כלכלי'!$C$59*(1+0.02)^10,-4)))+(((('הנחות עסקה'!$D$72*'הנחות עסקה'!$I$70)-30)/365)*חישובים!$D$23*(0.7*(ROUND('מודל כלכלי'!$C$59*(1+0.02)^10,-4)))*0.5))))+(-PV(חישובים!$D$21,(('הנחות עסקה'!$D$72*'הנחות עסקה'!$I$70)/365),,((0.1*(ROUND('מודל כלכלי'!$C$59*(1+0.02)^10,-4)))+((('הנחות עסקה'!$D$72*'הנחות עסקה'!$I$70)/365)*חישובים!$D$23*(0.1*(ROUND('מודל כלכלי'!$C$59*(1+0.02)^10,-4)))*0.5)))))+(-PV(חישובים!$D$21/12,(('הנחות עסקה'!$D$72*'הנחות עסקה'!$I$70)/365*12),(-FV('מודל כלכלי'!$C$20,(10+(('הנחות עסקה'!$D$71-'הנחות עסקה'!$D$72)*'הנחות עסקה'!$I$70)/365),,'מודל כלכלי'!$C$53)))))*היוון!$C$26)),ROUND('מודל כלכלי'!$C$59*(1+0.02)^10,-4)))*'מודל כלכלי'!$C$14-'מודל כלכלי'!$C$68*(IF('מודל כלכלי'!$C$26="פליפ",((-PV(חישובים!$D$21/12,(('הנחות עסקה'!$D$72*'הנחות עסקה'!$I$70)/365*12),(-FV('מודל כלכלי'!$C$20,(10+(('הנחות עסקה'!$D$71-'הנחות עסקה'!$D$72)*'הנחות עסקה'!$I$70)/365),,'מודל כלכלי'!$C$53))))+((0.07*(ROUND('מודל כלכלי'!$C$59*(1+0.02)^10,-4)))+(0.13*(ROUND('מודל כלכלי'!$C$59*(1+0.02)^10,-4)))+(-PV(חישובים!$D$21,((('הנחות עסקה'!$D$72*'הנחות עסקה'!$I$70)-30)/365),,((0.7*(ROUND('מודל כלכלי'!$C$59*(1+0.02)^10,-4)))+(((('הנחות עסקה'!$D$72*'הנחות עסקה'!$I$70)-30)/365)*חישובים!$D$23*(0.7*(ROUND('מודל כלכלי'!$C$59*(1+0.02)^10,-4)))*0.5))))+(-PV(חישובים!$D$21,(('הנחות עסקה'!$D$72*'הנחות עסקה'!$I$70)/365),,((0.1*(ROUND('מודל כלכלי'!$C$59*(1+0.02)^10,-4)))+((('הנחות עסקה'!$D$72*'הנחות עסקה'!$I$70)/365)*חישובים!$D$23*(0.1*(ROUND('מודל כלכלי'!$C$59*(1+0.02)^10,-4)))*0.5)))))+(-(((0.07*(ROUND('מודל כלכלי'!$C$59*(1+0.02)^10,-4)))+(0.13*(ROUND('מודל כלכלי'!$C$59*(1+0.02)^10,-4)))+(-PV(חישובים!$D$21,((('הנחות עסקה'!$D$72*'הנחות עסקה'!$I$70)-30)/365),,((0.7*(ROUND('מודל כלכלי'!$C$59*(1+0.02)^10,-4)))+(((('הנחות עסקה'!$D$72*'הנחות עסקה'!$I$70)-30)/365)*חישובים!$D$23*(0.7*(ROUND('מודל כלכלי'!$C$59*(1+0.02)^10,-4)))*0.5))))+(-PV(חישובים!$D$21,(('הנחות עסקה'!$D$72*'הנחות עסקה'!$I$70)/365),,((0.1*(ROUND('מודל כלכלי'!$C$59*(1+0.02)^10,-4)))+((('הנחות עסקה'!$D$72*'הנחות עסקה'!$I$70)/365)*חישובים!$D$23*(0.1*(ROUND('מודל כלכלי'!$C$59*(1+0.02)^10,-4)))*0.5)))))+(-PV(חישובים!$D$21/12,(('הנחות עסקה'!$D$72*'הנחות עסקה'!$I$70)/365*12),(-FV('מודל כלכלי'!$C$20,(10+(('הנחות עסקה'!$D$71-'הנחות עסקה'!$D$72)*'הנחות עסקה'!$I$70)/365),,'מודל כלכלי'!$C$53)))))*היוון!$C$26)),ROUND('מודל כלכלי'!$C$59*(1+0.02)^10,-4)))*'מודל כלכלי'!$C$14+'מודל כלכלי'!$C$70,-3))+(ROUND(-FV(חישובים!$D$22,10*12,'מודל כלכלי'!$C$55),-3))+(-'מודל כלכלי'!$C$45)+(-MAX(0,(IF('מודל כלכלי'!$C$26="פליפ",((-PV(חישובים!$D$21/12,(('הנחות עסקה'!$D$72*'הנחות עסקה'!$I$70)/365*12),(-FV('מודל כלכלי'!$C$20,(10+(('הנחות עסקה'!$D$71-'הנחות עסקה'!$D$72)*'הנחות עסקה'!$I$70)/365),,'מודל כלכלי'!$C$53))))+((0.07*(ROUND('מודל כלכלי'!$C$59*(1+0.02)^10,-4)))+(0.13*(ROUND('מודל כלכלי'!$C$59*(1+0.02)^10,-4)))+(-PV(חישובים!$D$21,((('הנחות עסקה'!$D$72*'הנחות עסקה'!$I$70)-30)/365),,((0.7*(ROUND('מודל כלכלי'!$C$59*(1+0.02)^10,-4)))+(((('הנחות עסקה'!$D$72*'הנחות עסקה'!$I$70)-30)/365)*חישובים!$D$23*(0.7*(ROUND('מודל כלכלי'!$C$59*(1+0.02)^10,-4)))*0.5))))+(-PV(חישובים!$D$21,(('הנחות עסקה'!$D$72*'הנחות עסקה'!$I$70)/365),,((0.1*(ROUND('מודל כלכלי'!$C$59*(1+0.02)^10,-4)))+((('הנחות עסקה'!$D$72*'הנחות עסקה'!$I$70)/365)*חישובים!$D$23*(0.1*(ROUND('מודל כלכלי'!$C$59*(1+0.02)^10,-4)))*0.5)))))+(-(((0.07*(ROUND('מודל כלכלי'!$C$59*(1+0.02)^10,-4)))+(0.13*(ROUND('מודל כלכלי'!$C$59*(1+0.02)^10,-4)))+(-PV(חישובים!$D$21,((('הנחות עסקה'!$D$72*'הנחות עסקה'!$I$70)-30)/365),,((0.7*(ROUND('מודל כלכלי'!$C$59*(1+0.02)^10,-4)))+(((('הנחות עסקה'!$D$72*'הנחות עסקה'!$I$70)-30)/365)*חישובים!$D$23*(0.7*(ROUND('מודל כלכלי'!$C$59*(1+0.02)^10,-4)))*0.5))))+(-PV(חישובים!$D$21,(('הנחות עסקה'!$D$72*'הנחות עסקה'!$I$70)/365),,((0.1*(ROUND('מודל כלכלי'!$C$59*(1+0.02)^10,-4)))+((('הנחות עסקה'!$D$72*'הנחות עסקה'!$I$70)/365)*חישובים!$D$23*(0.1*(ROUND('מודל כלכלי'!$C$59*(1+0.02)^10,-4)))*0.5)))))+(-PV(חישובים!$D$21/12,(('הנחות עסקה'!$D$72*'הנחות עסקה'!$I$70)/365*12),(-FV('מודל כלכלי'!$C$20,(10+(('הנחות עסקה'!$D$71-'הנחות עסקה'!$D$72)*'הנחות עסקה'!$I$70)/365),,'מודל כלכלי'!$C$53)))))*היוון!$C$26)),ROUND('מודל כלכלי'!$C$59*(1+0.02)^10,-4)))-(חישובים!$D$28*(1+חישובים!$D$29)^10))*0.25),-4))+'מודל כלכלי'!$C$45)/'מודל כלכלי'!$C$45)^(1/10)-1</f>
        <v>0.12175795544727386</v>
      </c>
      <c r="H10" s="59">
        <f>(((ROUND((IF('מודל כלכלי'!$C$26="פליפ",((-PV(חישובים!$D$21/12,(('הנחות עסקה'!$D$72*'הנחות עסקה'!$I$70)/365*12),(-FV('מודל כלכלי'!$C$20,(11+(('הנחות עסקה'!$D$71-'הנחות עסקה'!$D$72)*'הנחות עסקה'!$I$70)/365),,'מודל כלכלי'!$C$53))))+((0.07*(ROUND('מודל כלכלי'!$C$59*(1+0.02)^11,-4)))+(0.13*(ROUND('מודל כלכלי'!$C$59*(1+0.02)^11,-4)))+(-PV(חישובים!$D$21,((('הנחות עסקה'!$D$72*'הנחות עסקה'!$I$70)-30)/365),,((0.7*(ROUND('מודל כלכלי'!$C$59*(1+0.02)^11,-4)))+(((('הנחות עסקה'!$D$72*'הנחות עסקה'!$I$70)-30)/365)*חישובים!$D$23*(0.7*(ROUND('מודל כלכלי'!$C$59*(1+0.02)^11,-4)))*0.5))))+(-PV(חישובים!$D$21,(('הנחות עסקה'!$D$72*'הנחות עסקה'!$I$70)/365),,((0.1*(ROUND('מודל כלכלי'!$C$59*(1+0.02)^11,-4)))+((('הנחות עסקה'!$D$72*'הנחות עסקה'!$I$70)/365)*חישובים!$D$23*(0.1*(ROUND('מודל כלכלי'!$C$59*(1+0.02)^11,-4)))*0.5)))))+(-(((0.07*(ROUND('מודל כלכלי'!$C$59*(1+0.02)^11,-4)))+(0.13*(ROUND('מודל כלכלי'!$C$59*(1+0.02)^11,-4)))+(-PV(חישובים!$D$21,((('הנחות עסקה'!$D$72*'הנחות עסקה'!$I$70)-30)/365),,((0.7*(ROUND('מודל כלכלי'!$C$59*(1+0.02)^11,-4)))+(((('הנחות עסקה'!$D$72*'הנחות עסקה'!$I$70)-30)/365)*חישובים!$D$23*(0.7*(ROUND('מודל כלכלי'!$C$59*(1+0.02)^11,-4)))*0.5))))+(-PV(חישובים!$D$21,(('הנחות עסקה'!$D$72*'הנחות עסקה'!$I$70)/365),,((0.1*(ROUND('מודל כלכלי'!$C$59*(1+0.02)^11,-4)))+((('הנחות עסקה'!$D$72*'הנחות עסקה'!$I$70)/365)*חישובים!$D$23*(0.1*(ROUND('מודל כלכלי'!$C$59*(1+0.02)^11,-4)))*0.5)))))+(-PV(חישובים!$D$21/12,(('הנחות עסקה'!$D$72*'הנחות עסקה'!$I$70)/365*12),(-FV('מודל כלכלי'!$C$20,(11+(('הנחות עסקה'!$D$71-'הנחות עסקה'!$D$72)*'הנחות עסקה'!$I$70)/365),,'מודל כלכלי'!$C$53)))))*היוון!$C$26)),ROUND('מודל כלכלי'!$C$59*(1+0.02)^11,-4)))+(ROUND(FV('מודל כלכלי'!$C$17/12,11*12,'מודל כלכלי'!$C$48,'מודל כלכלי'!$C$46),-4))+(ROUND(-'מודל כלכלי'!$C$66*(IF('מודל כלכלי'!$C$26="פליפ",((-PV(חישובים!$D$21/12,(('הנחות עסקה'!$D$72*'הנחות עסקה'!$I$70)/365*12),(-FV('מודל כלכלי'!$C$20,(11+(('הנחות עסקה'!$D$71-'הנחות עסקה'!$D$72)*'הנחות עסקה'!$I$70)/365),,'מודל כלכלי'!$C$53))))+((0.07*(ROUND('מודל כלכלי'!$C$59*(1+0.02)^11,-4)))+(0.13*(ROUND('מודל כלכלי'!$C$59*(1+0.02)^11,-4)))+(-PV(חישובים!$D$21,((('הנחות עסקה'!$D$72*'הנחות עסקה'!$I$70)-30)/365),,((0.7*(ROUND('מודל כלכלי'!$C$59*(1+0.02)^11,-4)))+(((('הנחות עסקה'!$D$72*'הנחות עסקה'!$I$70)-30)/365)*חישובים!$D$23*(0.7*(ROUND('מודל כלכלי'!$C$59*(1+0.02)^11,-4)))*0.5))))+(-PV(חישובים!$D$21,(('הנחות עסקה'!$D$72*'הנחות עסקה'!$I$70)/365),,((0.1*(ROUND('מודל כלכלי'!$C$59*(1+0.02)^11,-4)))+((('הנחות עסקה'!$D$72*'הנחות עסקה'!$I$70)/365)*חישובים!$D$23*(0.1*(ROUND('מודל כלכלי'!$C$59*(1+0.02)^11,-4)))*0.5)))))+(-(((0.07*(ROUND('מודל כלכלי'!$C$59*(1+0.02)^11,-4)))+(0.13*(ROUND('מודל כלכלי'!$C$59*(1+0.02)^11,-4)))+(-PV(חישובים!$D$21,((('הנחות עסקה'!$D$72*'הנחות עסקה'!$I$70)-30)/365),,((0.7*(ROUND('מודל כלכלי'!$C$59*(1+0.02)^11,-4)))+(((('הנחות עסקה'!$D$72*'הנחות עסקה'!$I$70)-30)/365)*חישובים!$D$23*(0.7*(ROUND('מודל כלכלי'!$C$59*(1+0.02)^11,-4)))*0.5))))+(-PV(חישובים!$D$21,(('הנחות עסקה'!$D$72*'הנחות עסקה'!$I$70)/365),,((0.1*(ROUND('מודל כלכלי'!$C$59*(1+0.02)^11,-4)))+((('הנחות עסקה'!$D$72*'הנחות עסקה'!$I$70)/365)*חישובים!$D$23*(0.1*(ROUND('מודל כלכלי'!$C$59*(1+0.02)^11,-4)))*0.5)))))+(-PV(חישובים!$D$21/12,(('הנחות עסקה'!$D$72*'הנחות עסקה'!$I$70)/365*12),(-FV('מודל כלכלי'!$C$20,(11+(('הנחות עסקה'!$D$71-'הנחות עסקה'!$D$72)*'הנחות עסקה'!$I$70)/365),,'מודל כלכלי'!$C$53)))))*היוון!$C$26)),ROUND('מודל כלכלי'!$C$59*(1+0.02)^11,-4)))*'מודל כלכלי'!$C$14-'מודל כלכלי'!$C$68*(IF('מודל כלכלי'!$C$26="פליפ",((-PV(חישובים!$D$21/12,(('הנחות עסקה'!$D$72*'הנחות עסקה'!$I$70)/365*12),(-FV('מודל כלכלי'!$C$20,(11+(('הנחות עסקה'!$D$71-'הנחות עסקה'!$D$72)*'הנחות עסקה'!$I$70)/365),,'מודל כלכלי'!$C$53))))+((0.07*(ROUND('מודל כלכלי'!$C$59*(1+0.02)^11,-4)))+(0.13*(ROUND('מודל כלכלי'!$C$59*(1+0.02)^11,-4)))+(-PV(חישובים!$D$21,((('הנחות עסקה'!$D$72*'הנחות עסקה'!$I$70)-30)/365),,((0.7*(ROUND('מודל כלכלי'!$C$59*(1+0.02)^11,-4)))+(((('הנחות עסקה'!$D$72*'הנחות עסקה'!$I$70)-30)/365)*חישובים!$D$23*(0.7*(ROUND('מודל כלכלי'!$C$59*(1+0.02)^11,-4)))*0.5))))+(-PV(חישובים!$D$21,(('הנחות עסקה'!$D$72*'הנחות עסקה'!$I$70)/365),,((0.1*(ROUND('מודל כלכלי'!$C$59*(1+0.02)^11,-4)))+((('הנחות עסקה'!$D$72*'הנחות עסקה'!$I$70)/365)*חישובים!$D$23*(0.1*(ROUND('מודל כלכלי'!$C$59*(1+0.02)^11,-4)))*0.5)))))+(-(((0.07*(ROUND('מודל כלכלי'!$C$59*(1+0.02)^11,-4)))+(0.13*(ROUND('מודל כלכלי'!$C$59*(1+0.02)^11,-4)))+(-PV(חישובים!$D$21,((('הנחות עסקה'!$D$72*'הנחות עסקה'!$I$70)-30)/365),,((0.7*(ROUND('מודל כלכלי'!$C$59*(1+0.02)^11,-4)))+(((('הנחות עסקה'!$D$72*'הנחות עסקה'!$I$70)-30)/365)*חישובים!$D$23*(0.7*(ROUND('מודל כלכלי'!$C$59*(1+0.02)^11,-4)))*0.5))))+(-PV(חישובים!$D$21,(('הנחות עסקה'!$D$72*'הנחות עסקה'!$I$70)/365),,((0.1*(ROUND('מודל כלכלי'!$C$59*(1+0.02)^11,-4)))+((('הנחות עסקה'!$D$72*'הנחות עסקה'!$I$70)/365)*חישובים!$D$23*(0.1*(ROUND('מודל כלכלי'!$C$59*(1+0.02)^11,-4)))*0.5)))))+(-PV(חישובים!$D$21/12,(('הנחות עסקה'!$D$72*'הנחות עסקה'!$I$70)/365*12),(-FV('מודל כלכלי'!$C$20,(11+(('הנחות עסקה'!$D$71-'הנחות עסקה'!$D$72)*'הנחות עסקה'!$I$70)/365),,'מודל כלכלי'!$C$53)))))*היוון!$C$26)),ROUND('מודל כלכלי'!$C$59*(1+0.02)^11,-4)))*'מודל כלכלי'!$C$14+'מודל כלכלי'!$C$70,-3))+(ROUND(-FV(חישובים!$D$22,11*12,'מודל כלכלי'!$C$55),-3))+(-'מודל כלכלי'!$C$45)+(-MAX(0,(IF('מודל כלכלי'!$C$26="פליפ",((-PV(חישובים!$D$21/12,(('הנחות עסקה'!$D$72*'הנחות עסקה'!$I$70)/365*12),(-FV('מודל כלכלי'!$C$20,(11+(('הנחות עסקה'!$D$71-'הנחות עסקה'!$D$72)*'הנחות עסקה'!$I$70)/365),,'מודל כלכלי'!$C$53))))+((0.07*(ROUND('מודל כלכלי'!$C$59*(1+0.02)^11,-4)))+(0.13*(ROUND('מודל כלכלי'!$C$59*(1+0.02)^11,-4)))+(-PV(חישובים!$D$21,((('הנחות עסקה'!$D$72*'הנחות עסקה'!$I$70)-30)/365),,((0.7*(ROUND('מודל כלכלי'!$C$59*(1+0.02)^11,-4)))+(((('הנחות עסקה'!$D$72*'הנחות עסקה'!$I$70)-30)/365)*חישובים!$D$23*(0.7*(ROUND('מודל כלכלי'!$C$59*(1+0.02)^11,-4)))*0.5))))+(-PV(חישובים!$D$21,(('הנחות עסקה'!$D$72*'הנחות עסקה'!$I$70)/365),,((0.1*(ROUND('מודל כלכלי'!$C$59*(1+0.02)^11,-4)))+((('הנחות עסקה'!$D$72*'הנחות עסקה'!$I$70)/365)*חישובים!$D$23*(0.1*(ROUND('מודל כלכלי'!$C$59*(1+0.02)^11,-4)))*0.5)))))+(-(((0.07*(ROUND('מודל כלכלי'!$C$59*(1+0.02)^11,-4)))+(0.13*(ROUND('מודל כלכלי'!$C$59*(1+0.02)^11,-4)))+(-PV(חישובים!$D$21,((('הנחות עסקה'!$D$72*'הנחות עסקה'!$I$70)-30)/365),,((0.7*(ROUND('מודל כלכלי'!$C$59*(1+0.02)^11,-4)))+(((('הנחות עסקה'!$D$72*'הנחות עסקה'!$I$70)-30)/365)*חישובים!$D$23*(0.7*(ROUND('מודל כלכלי'!$C$59*(1+0.02)^11,-4)))*0.5))))+(-PV(חישובים!$D$21,(('הנחות עסקה'!$D$72*'הנחות עסקה'!$I$70)/365),,((0.1*(ROUND('מודל כלכלי'!$C$59*(1+0.02)^11,-4)))+((('הנחות עסקה'!$D$72*'הנחות עסקה'!$I$70)/365)*חישובים!$D$23*(0.1*(ROUND('מודל כלכלי'!$C$59*(1+0.02)^11,-4)))*0.5)))))+(-PV(חישובים!$D$21/12,(('הנחות עסקה'!$D$72*'הנחות עסקה'!$I$70)/365*12),(-FV('מודל כלכלי'!$C$20,(11+(('הנחות עסקה'!$D$71-'הנחות עסקה'!$D$72)*'הנחות עסקה'!$I$70)/365),,'מודל כלכלי'!$C$53)))))*היוון!$C$26)),ROUND('מודל כלכלי'!$C$59*(1+0.02)^11,-4)))-(חישובים!$D$28*(1+חישובים!$D$29)^11))*0.25),-4))+'מודל כלכלי'!$C$45)/'מודל כלכלי'!$C$45)^(1/11)-1</f>
        <v>0.11250297692074973</v>
      </c>
      <c r="I10" s="59">
        <f>(((ROUND((IF('מודל כלכלי'!$C$26="פליפ",((-PV(חישובים!$D$21/12,(('הנחות עסקה'!$D$72*'הנחות עסקה'!$I$70)/365*12),(-FV('מודל כלכלי'!$C$20,(12+(('הנחות עסקה'!$D$71-'הנחות עסקה'!$D$72)*'הנחות עסקה'!$I$70)/365),,'מודל כלכלי'!$C$53))))+((0.07*(ROUND('מודל כלכלי'!$C$59*(1+0.02)^12,-4)))+(0.13*(ROUND('מודל כלכלי'!$C$59*(1+0.02)^12,-4)))+(-PV(חישובים!$D$21,((('הנחות עסקה'!$D$72*'הנחות עסקה'!$I$70)-30)/365),,((0.7*(ROUND('מודל כלכלי'!$C$59*(1+0.02)^12,-4)))+(((('הנחות עסקה'!$D$72*'הנחות עסקה'!$I$70)-30)/365)*חישובים!$D$23*(0.7*(ROUND('מודל כלכלי'!$C$59*(1+0.02)^12,-4)))*0.5))))+(-PV(חישובים!$D$21,(('הנחות עסקה'!$D$72*'הנחות עסקה'!$I$70)/365),,((0.1*(ROUND('מודל כלכלי'!$C$59*(1+0.02)^12,-4)))+((('הנחות עסקה'!$D$72*'הנחות עסקה'!$I$70)/365)*חישובים!$D$23*(0.1*(ROUND('מודל כלכלי'!$C$59*(1+0.02)^12,-4)))*0.5)))))+(-(((0.07*(ROUND('מודל כלכלי'!$C$59*(1+0.02)^12,-4)))+(0.13*(ROUND('מודל כלכלי'!$C$59*(1+0.02)^12,-4)))+(-PV(חישובים!$D$21,((('הנחות עסקה'!$D$72*'הנחות עסקה'!$I$70)-30)/365),,((0.7*(ROUND('מודל כלכלי'!$C$59*(1+0.02)^12,-4)))+(((('הנחות עסקה'!$D$72*'הנחות עסקה'!$I$70)-30)/365)*חישובים!$D$23*(0.7*(ROUND('מודל כלכלי'!$C$59*(1+0.02)^12,-4)))*0.5))))+(-PV(חישובים!$D$21,(('הנחות עסקה'!$D$72*'הנחות עסקה'!$I$70)/365),,((0.1*(ROUND('מודל כלכלי'!$C$59*(1+0.02)^12,-4)))+((('הנחות עסקה'!$D$72*'הנחות עסקה'!$I$70)/365)*חישובים!$D$23*(0.1*(ROUND('מודל כלכלי'!$C$59*(1+0.02)^12,-4)))*0.5)))))+(-PV(חישובים!$D$21/12,(('הנחות עסקה'!$D$72*'הנחות עסקה'!$I$70)/365*12),(-FV('מודל כלכלי'!$C$20,(12+(('הנחות עסקה'!$D$71-'הנחות עסקה'!$D$72)*'הנחות עסקה'!$I$70)/365),,'מודל כלכלי'!$C$53)))))*היוון!$C$26)),ROUND('מודל כלכלי'!$C$59*(1+0.02)^12,-4)))+(ROUND(FV('מודל כלכלי'!$C$17/12,12*12,'מודל כלכלי'!$C$48,'מודל כלכלי'!$C$46),-4))+(ROUND(-'מודל כלכלי'!$C$66*(IF('מודל כלכלי'!$C$26="פליפ",((-PV(חישובים!$D$21/12,(('הנחות עסקה'!$D$72*'הנחות עסקה'!$I$70)/365*12),(-FV('מודל כלכלי'!$C$20,(12+(('הנחות עסקה'!$D$71-'הנחות עסקה'!$D$72)*'הנחות עסקה'!$I$70)/365),,'מודל כלכלי'!$C$53))))+((0.07*(ROUND('מודל כלכלי'!$C$59*(1+0.02)^12,-4)))+(0.13*(ROUND('מודל כלכלי'!$C$59*(1+0.02)^12,-4)))+(-PV(חישובים!$D$21,((('הנחות עסקה'!$D$72*'הנחות עסקה'!$I$70)-30)/365),,((0.7*(ROUND('מודל כלכלי'!$C$59*(1+0.02)^12,-4)))+(((('הנחות עסקה'!$D$72*'הנחות עסקה'!$I$70)-30)/365)*חישובים!$D$23*(0.7*(ROUND('מודל כלכלי'!$C$59*(1+0.02)^12,-4)))*0.5))))+(-PV(חישובים!$D$21,(('הנחות עסקה'!$D$72*'הנחות עסקה'!$I$70)/365),,((0.1*(ROUND('מודל כלכלי'!$C$59*(1+0.02)^12,-4)))+((('הנחות עסקה'!$D$72*'הנחות עסקה'!$I$70)/365)*חישובים!$D$23*(0.1*(ROUND('מודל כלכלי'!$C$59*(1+0.02)^12,-4)))*0.5)))))+(-(((0.07*(ROUND('מודל כלכלי'!$C$59*(1+0.02)^12,-4)))+(0.13*(ROUND('מודל כלכלי'!$C$59*(1+0.02)^12,-4)))+(-PV(חישובים!$D$21,((('הנחות עסקה'!$D$72*'הנחות עסקה'!$I$70)-30)/365),,((0.7*(ROUND('מודל כלכלי'!$C$59*(1+0.02)^12,-4)))+(((('הנחות עסקה'!$D$72*'הנחות עסקה'!$I$70)-30)/365)*חישובים!$D$23*(0.7*(ROUND('מודל כלכלי'!$C$59*(1+0.02)^12,-4)))*0.5))))+(-PV(חישובים!$D$21,(('הנחות עסקה'!$D$72*'הנחות עסקה'!$I$70)/365),,((0.1*(ROUND('מודל כלכלי'!$C$59*(1+0.02)^12,-4)))+((('הנחות עסקה'!$D$72*'הנחות עסקה'!$I$70)/365)*חישובים!$D$23*(0.1*(ROUND('מודל כלכלי'!$C$59*(1+0.02)^12,-4)))*0.5)))))+(-PV(חישובים!$D$21/12,(('הנחות עסקה'!$D$72*'הנחות עסקה'!$I$70)/365*12),(-FV('מודל כלכלי'!$C$20,(12+(('הנחות עסקה'!$D$71-'הנחות עסקה'!$D$72)*'הנחות עסקה'!$I$70)/365),,'מודל כלכלי'!$C$53)))))*היוון!$C$26)),ROUND('מודל כלכלי'!$C$59*(1+0.02)^12,-4)))*'מודל כלכלי'!$C$14-'מודל כלכלי'!$C$68*(IF('מודל כלכלי'!$C$26="פליפ",((-PV(חישובים!$D$21/12,(('הנחות עסקה'!$D$72*'הנחות עסקה'!$I$70)/365*12),(-FV('מודל כלכלי'!$C$20,(12+(('הנחות עסקה'!$D$71-'הנחות עסקה'!$D$72)*'הנחות עסקה'!$I$70)/365),,'מודל כלכלי'!$C$53))))+((0.07*(ROUND('מודל כלכלי'!$C$59*(1+0.02)^12,-4)))+(0.13*(ROUND('מודל כלכלי'!$C$59*(1+0.02)^12,-4)))+(-PV(חישובים!$D$21,((('הנחות עסקה'!$D$72*'הנחות עסקה'!$I$70)-30)/365),,((0.7*(ROUND('מודל כלכלי'!$C$59*(1+0.02)^12,-4)))+(((('הנחות עסקה'!$D$72*'הנחות עסקה'!$I$70)-30)/365)*חישובים!$D$23*(0.7*(ROUND('מודל כלכלי'!$C$59*(1+0.02)^12,-4)))*0.5))))+(-PV(חישובים!$D$21,(('הנחות עסקה'!$D$72*'הנחות עסקה'!$I$70)/365),,((0.1*(ROUND('מודל כלכלי'!$C$59*(1+0.02)^12,-4)))+((('הנחות עסקה'!$D$72*'הנחות עסקה'!$I$70)/365)*חישובים!$D$23*(0.1*(ROUND('מודל כלכלי'!$C$59*(1+0.02)^12,-4)))*0.5)))))+(-(((0.07*(ROUND('מודל כלכלי'!$C$59*(1+0.02)^12,-4)))+(0.13*(ROUND('מודל כלכלי'!$C$59*(1+0.02)^12,-4)))+(-PV(חישובים!$D$21,((('הנחות עסקה'!$D$72*'הנחות עסקה'!$I$70)-30)/365),,((0.7*(ROUND('מודל כלכלי'!$C$59*(1+0.02)^12,-4)))+(((('הנחות עסקה'!$D$72*'הנחות עסקה'!$I$70)-30)/365)*חישובים!$D$23*(0.7*(ROUND('מודל כלכלי'!$C$59*(1+0.02)^12,-4)))*0.5))))+(-PV(חישובים!$D$21,(('הנחות עסקה'!$D$72*'הנחות עסקה'!$I$70)/365),,((0.1*(ROUND('מודל כלכלי'!$C$59*(1+0.02)^12,-4)))+((('הנחות עסקה'!$D$72*'הנחות עסקה'!$I$70)/365)*חישובים!$D$23*(0.1*(ROUND('מודל כלכלי'!$C$59*(1+0.02)^12,-4)))*0.5)))))+(-PV(חישובים!$D$21/12,(('הנחות עסקה'!$D$72*'הנחות עסקה'!$I$70)/365*12),(-FV('מודל כלכלי'!$C$20,(12+(('הנחות עסקה'!$D$71-'הנחות עסקה'!$D$72)*'הנחות עסקה'!$I$70)/365),,'מודל כלכלי'!$C$53)))))*היוון!$C$26)),ROUND('מודל כלכלי'!$C$59*(1+0.02)^12,-4)))*'מודל כלכלי'!$C$14+'מודל כלכלי'!$C$70,-3))+(ROUND(-FV(חישובים!$D$22,12*12,'מודל כלכלי'!$C$55),-3))+(-'מודל כלכלי'!$C$45)+(-MAX(0,(IF('מודל כלכלי'!$C$26="פליפ",((-PV(חישובים!$D$21/12,(('הנחות עסקה'!$D$72*'הנחות עסקה'!$I$70)/365*12),(-FV('מודל כלכלי'!$C$20,(12+(('הנחות עסקה'!$D$71-'הנחות עסקה'!$D$72)*'הנחות עסקה'!$I$70)/365),,'מודל כלכלי'!$C$53))))+((0.07*(ROUND('מודל כלכלי'!$C$59*(1+0.02)^12,-4)))+(0.13*(ROUND('מודל כלכלי'!$C$59*(1+0.02)^12,-4)))+(-PV(חישובים!$D$21,((('הנחות עסקה'!$D$72*'הנחות עסקה'!$I$70)-30)/365),,((0.7*(ROUND('מודל כלכלי'!$C$59*(1+0.02)^12,-4)))+(((('הנחות עסקה'!$D$72*'הנחות עסקה'!$I$70)-30)/365)*חישובים!$D$23*(0.7*(ROUND('מודל כלכלי'!$C$59*(1+0.02)^12,-4)))*0.5))))+(-PV(חישובים!$D$21,(('הנחות עסקה'!$D$72*'הנחות עסקה'!$I$70)/365),,((0.1*(ROUND('מודל כלכלי'!$C$59*(1+0.02)^12,-4)))+((('הנחות עסקה'!$D$72*'הנחות עסקה'!$I$70)/365)*חישובים!$D$23*(0.1*(ROUND('מודל כלכלי'!$C$59*(1+0.02)^12,-4)))*0.5)))))+(-(((0.07*(ROUND('מודל כלכלי'!$C$59*(1+0.02)^12,-4)))+(0.13*(ROUND('מודל כלכלי'!$C$59*(1+0.02)^12,-4)))+(-PV(חישובים!$D$21,((('הנחות עסקה'!$D$72*'הנחות עסקה'!$I$70)-30)/365),,((0.7*(ROUND('מודל כלכלי'!$C$59*(1+0.02)^12,-4)))+(((('הנחות עסקה'!$D$72*'הנחות עסקה'!$I$70)-30)/365)*חישובים!$D$23*(0.7*(ROUND('מודל כלכלי'!$C$59*(1+0.02)^12,-4)))*0.5))))+(-PV(חישובים!$D$21,(('הנחות עסקה'!$D$72*'הנחות עסקה'!$I$70)/365),,((0.1*(ROUND('מודל כלכלי'!$C$59*(1+0.02)^12,-4)))+((('הנחות עסקה'!$D$72*'הנחות עסקה'!$I$70)/365)*חישובים!$D$23*(0.1*(ROUND('מודל כלכלי'!$C$59*(1+0.02)^12,-4)))*0.5)))))+(-PV(חישובים!$D$21/12,(('הנחות עסקה'!$D$72*'הנחות עסקה'!$I$70)/365*12),(-FV('מודל כלכלי'!$C$20,(12+(('הנחות עסקה'!$D$71-'הנחות עסקה'!$D$72)*'הנחות עסקה'!$I$70)/365),,'מודל כלכלי'!$C$53)))))*היוון!$C$26)),ROUND('מודל כלכלי'!$C$59*(1+0.02)^12,-4)))-(חישובים!$D$28*(1+חישובים!$D$29)^12))*0.25),-4))+'מודל כלכלי'!$C$45)/'מודל כלכלי'!$C$45)^(1/12)-1</f>
        <v>0.10437463466099794</v>
      </c>
      <c r="J10" s="59">
        <f>(((ROUND((IF('מודל כלכלי'!$C$26="פליפ",((-PV(חישובים!$D$21/12,(('הנחות עסקה'!$D$72*'הנחות עסקה'!$I$70)/365*12),(-FV('מודל כלכלי'!$C$20,(13+(('הנחות עסקה'!$D$71-'הנחות עסקה'!$D$72)*'הנחות עסקה'!$I$70)/365),,'מודל כלכלי'!$C$53))))+((0.07*(ROUND('מודל כלכלי'!$C$59*(1+0.02)^13,-4)))+(0.13*(ROUND('מודל כלכלי'!$C$59*(1+0.02)^13,-4)))+(-PV(חישובים!$D$21,((('הנחות עסקה'!$D$72*'הנחות עסקה'!$I$70)-30)/365),,((0.7*(ROUND('מודל כלכלי'!$C$59*(1+0.02)^13,-4)))+(((('הנחות עסקה'!$D$72*'הנחות עסקה'!$I$70)-30)/365)*חישובים!$D$23*(0.7*(ROUND('מודל כלכלי'!$C$59*(1+0.02)^13,-4)))*0.5))))+(-PV(חישובים!$D$21,(('הנחות עסקה'!$D$72*'הנחות עסקה'!$I$70)/365),,((0.1*(ROUND('מודל כלכלי'!$C$59*(1+0.02)^13,-4)))+((('הנחות עסקה'!$D$72*'הנחות עסקה'!$I$70)/365)*חישובים!$D$23*(0.1*(ROUND('מודל כלכלי'!$C$59*(1+0.02)^13,-4)))*0.5)))))+(-(((0.07*(ROUND('מודל כלכלי'!$C$59*(1+0.02)^13,-4)))+(0.13*(ROUND('מודל כלכלי'!$C$59*(1+0.02)^13,-4)))+(-PV(חישובים!$D$21,((('הנחות עסקה'!$D$72*'הנחות עסקה'!$I$70)-30)/365),,((0.7*(ROUND('מודל כלכלי'!$C$59*(1+0.02)^13,-4)))+(((('הנחות עסקה'!$D$72*'הנחות עסקה'!$I$70)-30)/365)*חישובים!$D$23*(0.7*(ROUND('מודל כלכלי'!$C$59*(1+0.02)^13,-4)))*0.5))))+(-PV(חישובים!$D$21,(('הנחות עסקה'!$D$72*'הנחות עסקה'!$I$70)/365),,((0.1*(ROUND('מודל כלכלי'!$C$59*(1+0.02)^13,-4)))+((('הנחות עסקה'!$D$72*'הנחות עסקה'!$I$70)/365)*חישובים!$D$23*(0.1*(ROUND('מודל כלכלי'!$C$59*(1+0.02)^13,-4)))*0.5)))))+(-PV(חישובים!$D$21/12,(('הנחות עסקה'!$D$72*'הנחות עסקה'!$I$70)/365*12),(-FV('מודל כלכלי'!$C$20,(13+(('הנחות עסקה'!$D$71-'הנחות עסקה'!$D$72)*'הנחות עסקה'!$I$70)/365),,'מודל כלכלי'!$C$53)))))*היוון!$C$26)),ROUND('מודל כלכלי'!$C$59*(1+0.02)^13,-4)))+(ROUND(FV('מודל כלכלי'!$C$17/12,13*12,'מודל כלכלי'!$C$48,'מודל כלכלי'!$C$46),-4))+(ROUND(-'מודל כלכלי'!$C$66*(IF('מודל כלכלי'!$C$26="פליפ",((-PV(חישובים!$D$21/12,(('הנחות עסקה'!$D$72*'הנחות עסקה'!$I$70)/365*12),(-FV('מודל כלכלי'!$C$20,(13+(('הנחות עסקה'!$D$71-'הנחות עסקה'!$D$72)*'הנחות עסקה'!$I$70)/365),,'מודל כלכלי'!$C$53))))+((0.07*(ROUND('מודל כלכלי'!$C$59*(1+0.02)^13,-4)))+(0.13*(ROUND('מודל כלכלי'!$C$59*(1+0.02)^13,-4)))+(-PV(חישובים!$D$21,((('הנחות עסקה'!$D$72*'הנחות עסקה'!$I$70)-30)/365),,((0.7*(ROUND('מודל כלכלי'!$C$59*(1+0.02)^13,-4)))+(((('הנחות עסקה'!$D$72*'הנחות עסקה'!$I$70)-30)/365)*חישובים!$D$23*(0.7*(ROUND('מודל כלכלי'!$C$59*(1+0.02)^13,-4)))*0.5))))+(-PV(חישובים!$D$21,(('הנחות עסקה'!$D$72*'הנחות עסקה'!$I$70)/365),,((0.1*(ROUND('מודל כלכלי'!$C$59*(1+0.02)^13,-4)))+((('הנחות עסקה'!$D$72*'הנחות עסקה'!$I$70)/365)*חישובים!$D$23*(0.1*(ROUND('מודל כלכלי'!$C$59*(1+0.02)^13,-4)))*0.5)))))+(-(((0.07*(ROUND('מודל כלכלי'!$C$59*(1+0.02)^13,-4)))+(0.13*(ROUND('מודל כלכלי'!$C$59*(1+0.02)^13,-4)))+(-PV(חישובים!$D$21,((('הנחות עסקה'!$D$72*'הנחות עסקה'!$I$70)-30)/365),,((0.7*(ROUND('מודל כלכלי'!$C$59*(1+0.02)^13,-4)))+(((('הנחות עסקה'!$D$72*'הנחות עסקה'!$I$70)-30)/365)*חישובים!$D$23*(0.7*(ROUND('מודל כלכלי'!$C$59*(1+0.02)^13,-4)))*0.5))))+(-PV(חישובים!$D$21,(('הנחות עסקה'!$D$72*'הנחות עסקה'!$I$70)/365),,((0.1*(ROUND('מודל כלכלי'!$C$59*(1+0.02)^13,-4)))+((('הנחות עסקה'!$D$72*'הנחות עסקה'!$I$70)/365)*חישובים!$D$23*(0.1*(ROUND('מודל כלכלי'!$C$59*(1+0.02)^13,-4)))*0.5)))))+(-PV(חישובים!$D$21/12,(('הנחות עסקה'!$D$72*'הנחות עסקה'!$I$70)/365*12),(-FV('מודל כלכלי'!$C$20,(13+(('הנחות עסקה'!$D$71-'הנחות עסקה'!$D$72)*'הנחות עסקה'!$I$70)/365),,'מודל כלכלי'!$C$53)))))*היוון!$C$26)),ROUND('מודל כלכלי'!$C$59*(1+0.02)^13,-4)))*'מודל כלכלי'!$C$14-'מודל כלכלי'!$C$68*(IF('מודל כלכלי'!$C$26="פליפ",((-PV(חישובים!$D$21/12,(('הנחות עסקה'!$D$72*'הנחות עסקה'!$I$70)/365*12),(-FV('מודל כלכלי'!$C$20,(13+(('הנחות עסקה'!$D$71-'הנחות עסקה'!$D$72)*'הנחות עסקה'!$I$70)/365),,'מודל כלכלי'!$C$53))))+((0.07*(ROUND('מודל כלכלי'!$C$59*(1+0.02)^13,-4)))+(0.13*(ROUND('מודל כלכלי'!$C$59*(1+0.02)^13,-4)))+(-PV(חישובים!$D$21,((('הנחות עסקה'!$D$72*'הנחות עסקה'!$I$70)-30)/365),,((0.7*(ROUND('מודל כלכלי'!$C$59*(1+0.02)^13,-4)))+(((('הנחות עסקה'!$D$72*'הנחות עסקה'!$I$70)-30)/365)*חישובים!$D$23*(0.7*(ROUND('מודל כלכלי'!$C$59*(1+0.02)^13,-4)))*0.5))))+(-PV(חישובים!$D$21,(('הנחות עסקה'!$D$72*'הנחות עסקה'!$I$70)/365),,((0.1*(ROUND('מודל כלכלי'!$C$59*(1+0.02)^13,-4)))+((('הנחות עסקה'!$D$72*'הנחות עסקה'!$I$70)/365)*חישובים!$D$23*(0.1*(ROUND('מודל כלכלי'!$C$59*(1+0.02)^13,-4)))*0.5)))))+(-(((0.07*(ROUND('מודל כלכלי'!$C$59*(1+0.02)^13,-4)))+(0.13*(ROUND('מודל כלכלי'!$C$59*(1+0.02)^13,-4)))+(-PV(חישובים!$D$21,((('הנחות עסקה'!$D$72*'הנחות עסקה'!$I$70)-30)/365),,((0.7*(ROUND('מודל כלכלי'!$C$59*(1+0.02)^13,-4)))+(((('הנחות עסקה'!$D$72*'הנחות עסקה'!$I$70)-30)/365)*חישובים!$D$23*(0.7*(ROUND('מודל כלכלי'!$C$59*(1+0.02)^13,-4)))*0.5))))+(-PV(חישובים!$D$21,(('הנחות עסקה'!$D$72*'הנחות עסקה'!$I$70)/365),,((0.1*(ROUND('מודל כלכלי'!$C$59*(1+0.02)^13,-4)))+((('הנחות עסקה'!$D$72*'הנחות עסקה'!$I$70)/365)*חישובים!$D$23*(0.1*(ROUND('מודל כלכלי'!$C$59*(1+0.02)^13,-4)))*0.5)))))+(-PV(חישובים!$D$21/12,(('הנחות עסקה'!$D$72*'הנחות עסקה'!$I$70)/365*12),(-FV('מודל כלכלי'!$C$20,(13+(('הנחות עסקה'!$D$71-'הנחות עסקה'!$D$72)*'הנחות עסקה'!$I$70)/365),,'מודל כלכלי'!$C$53)))))*היוון!$C$26)),ROUND('מודל כלכלי'!$C$59*(1+0.02)^13,-4)))*'מודל כלכלי'!$C$14+'מודל כלכלי'!$C$70,-3))+(ROUND(-FV(חישובים!$D$22,13*12,'מודל כלכלי'!$C$55),-3))+(-'מודל כלכלי'!$C$45)+(-MAX(0,(IF('מודל כלכלי'!$C$26="פליפ",((-PV(חישובים!$D$21/12,(('הנחות עסקה'!$D$72*'הנחות עסקה'!$I$70)/365*12),(-FV('מודל כלכלי'!$C$20,(13+(('הנחות עסקה'!$D$71-'הנחות עסקה'!$D$72)*'הנחות עסקה'!$I$70)/365),,'מודל כלכלי'!$C$53))))+((0.07*(ROUND('מודל כלכלי'!$C$59*(1+0.02)^13,-4)))+(0.13*(ROUND('מודל כלכלי'!$C$59*(1+0.02)^13,-4)))+(-PV(חישובים!$D$21,((('הנחות עסקה'!$D$72*'הנחות עסקה'!$I$70)-30)/365),,((0.7*(ROUND('מודל כלכלי'!$C$59*(1+0.02)^13,-4)))+(((('הנחות עסקה'!$D$72*'הנחות עסקה'!$I$70)-30)/365)*חישובים!$D$23*(0.7*(ROUND('מודל כלכלי'!$C$59*(1+0.02)^13,-4)))*0.5))))+(-PV(חישובים!$D$21,(('הנחות עסקה'!$D$72*'הנחות עסקה'!$I$70)/365),,((0.1*(ROUND('מודל כלכלי'!$C$59*(1+0.02)^13,-4)))+((('הנחות עסקה'!$D$72*'הנחות עסקה'!$I$70)/365)*חישובים!$D$23*(0.1*(ROUND('מודל כלכלי'!$C$59*(1+0.02)^13,-4)))*0.5)))))+(-(((0.07*(ROUND('מודל כלכלי'!$C$59*(1+0.02)^13,-4)))+(0.13*(ROUND('מודל כלכלי'!$C$59*(1+0.02)^13,-4)))+(-PV(חישובים!$D$21,((('הנחות עסקה'!$D$72*'הנחות עסקה'!$I$70)-30)/365),,((0.7*(ROUND('מודל כלכלי'!$C$59*(1+0.02)^13,-4)))+(((('הנחות עסקה'!$D$72*'הנחות עסקה'!$I$70)-30)/365)*חישובים!$D$23*(0.7*(ROUND('מודל כלכלי'!$C$59*(1+0.02)^13,-4)))*0.5))))+(-PV(חישובים!$D$21,(('הנחות עסקה'!$D$72*'הנחות עסקה'!$I$70)/365),,((0.1*(ROUND('מודל כלכלי'!$C$59*(1+0.02)^13,-4)))+((('הנחות עסקה'!$D$72*'הנחות עסקה'!$I$70)/365)*חישובים!$D$23*(0.1*(ROUND('מודל כלכלי'!$C$59*(1+0.02)^13,-4)))*0.5)))))+(-PV(חישובים!$D$21/12,(('הנחות עסקה'!$D$72*'הנחות עסקה'!$I$70)/365*12),(-FV('מודל כלכלי'!$C$20,(13+(('הנחות עסקה'!$D$71-'הנחות עסקה'!$D$72)*'הנחות עסקה'!$I$70)/365),,'מודל כלכלי'!$C$53)))))*היוון!$C$26)),ROUND('מודל כלכלי'!$C$59*(1+0.02)^13,-4)))-(חישובים!$D$28*(1+חישובים!$D$29)^13))*0.25),-4))+'מודל כלכלי'!$C$45)/'מודל כלכלי'!$C$45)^(1/13)-1</f>
        <v>9.789588673002636E-2</v>
      </c>
    </row>
    <row r="11" spans="2:12" ht="15" customHeight="1">
      <c r="B11" s="74">
        <v>0.03</v>
      </c>
      <c r="C11" s="59">
        <f>(((ROUND((IF('מודל כלכלי'!$C$26="פליפ",((-PV(חישובים!$D$21/12,(('הנחות עסקה'!$D$72*'הנחות עסקה'!$I$70)/365*12),(-FV('מודל כלכלי'!$C$20,(6+(('הנחות עסקה'!$D$71-'הנחות עסקה'!$D$72)*'הנחות עסקה'!$I$70)/365),,'מודל כלכלי'!$C$53))))+((0.07*(ROUND('מודל כלכלי'!$C$59*(1+0.03)^6,-4)))+(0.13*(ROUND('מודל כלכלי'!$C$59*(1+0.03)^6,-4)))+(-PV(חישובים!$D$21,((('הנחות עסקה'!$D$72*'הנחות עסקה'!$I$70)-30)/365),,((0.7*(ROUND('מודל כלכלי'!$C$59*(1+0.03)^6,-4)))+(((('הנחות עסקה'!$D$72*'הנחות עסקה'!$I$70)-30)/365)*חישובים!$D$23*(0.7*(ROUND('מודל כלכלי'!$C$59*(1+0.03)^6,-4)))*0.5))))+(-PV(חישובים!$D$21,(('הנחות עסקה'!$D$72*'הנחות עסקה'!$I$70)/365),,((0.1*(ROUND('מודל כלכלי'!$C$59*(1+0.03)^6,-4)))+((('הנחות עסקה'!$D$72*'הנחות עסקה'!$I$70)/365)*חישובים!$D$23*(0.1*(ROUND('מודל כלכלי'!$C$59*(1+0.03)^6,-4)))*0.5)))))+(-(((0.07*(ROUND('מודל כלכלי'!$C$59*(1+0.03)^6,-4)))+(0.13*(ROUND('מודל כלכלי'!$C$59*(1+0.03)^6,-4)))+(-PV(חישובים!$D$21,((('הנחות עסקה'!$D$72*'הנחות עסקה'!$I$70)-30)/365),,((0.7*(ROUND('מודל כלכלי'!$C$59*(1+0.03)^6,-4)))+(((('הנחות עסקה'!$D$72*'הנחות עסקה'!$I$70)-30)/365)*חישובים!$D$23*(0.7*(ROUND('מודל כלכלי'!$C$59*(1+0.03)^6,-4)))*0.5))))+(-PV(חישובים!$D$21,(('הנחות עסקה'!$D$72*'הנחות עסקה'!$I$70)/365),,((0.1*(ROUND('מודל כלכלי'!$C$59*(1+0.03)^6,-4)))+((('הנחות עסקה'!$D$72*'הנחות עסקה'!$I$70)/365)*חישובים!$D$23*(0.1*(ROUND('מודל כלכלי'!$C$59*(1+0.03)^6,-4)))*0.5)))))+(-PV(חישובים!$D$21/12,(('הנחות עסקה'!$D$72*'הנחות עסקה'!$I$70)/365*12),(-FV('מודל כלכלי'!$C$20,(6+(('הנחות עסקה'!$D$71-'הנחות עסקה'!$D$72)*'הנחות עסקה'!$I$70)/365),,'מודל כלכלי'!$C$53)))))*היוון!$C$26)),ROUND('מודל כלכלי'!$C$59*(1+0.03)^6,-4)))+(ROUND(FV('מודל כלכלי'!$C$17/12,6*12,'מודל כלכלי'!$C$48,'מודל כלכלי'!$C$46),-4))+(ROUND(-'מודל כלכלי'!$C$66*(IF('מודל כלכלי'!$C$26="פליפ",((-PV(חישובים!$D$21/12,(('הנחות עסקה'!$D$72*'הנחות עסקה'!$I$70)/365*12),(-FV('מודל כלכלי'!$C$20,(6+(('הנחות עסקה'!$D$71-'הנחות עסקה'!$D$72)*'הנחות עסקה'!$I$70)/365),,'מודל כלכלי'!$C$53))))+((0.07*(ROUND('מודל כלכלי'!$C$59*(1+0.03)^6,-4)))+(0.13*(ROUND('מודל כלכלי'!$C$59*(1+0.03)^6,-4)))+(-PV(חישובים!$D$21,((('הנחות עסקה'!$D$72*'הנחות עסקה'!$I$70)-30)/365),,((0.7*(ROUND('מודל כלכלי'!$C$59*(1+0.03)^6,-4)))+(((('הנחות עסקה'!$D$72*'הנחות עסקה'!$I$70)-30)/365)*חישובים!$D$23*(0.7*(ROUND('מודל כלכלי'!$C$59*(1+0.03)^6,-4)))*0.5))))+(-PV(חישובים!$D$21,(('הנחות עסקה'!$D$72*'הנחות עסקה'!$I$70)/365),,((0.1*(ROUND('מודל כלכלי'!$C$59*(1+0.03)^6,-4)))+((('הנחות עסקה'!$D$72*'הנחות עסקה'!$I$70)/365)*חישובים!$D$23*(0.1*(ROUND('מודל כלכלי'!$C$59*(1+0.03)^6,-4)))*0.5)))))+(-(((0.07*(ROUND('מודל כלכלי'!$C$59*(1+0.03)^6,-4)))+(0.13*(ROUND('מודל כלכלי'!$C$59*(1+0.03)^6,-4)))+(-PV(חישובים!$D$21,((('הנחות עסקה'!$D$72*'הנחות עסקה'!$I$70)-30)/365),,((0.7*(ROUND('מודל כלכלי'!$C$59*(1+0.03)^6,-4)))+(((('הנחות עסקה'!$D$72*'הנחות עסקה'!$I$70)-30)/365)*חישובים!$D$23*(0.7*(ROUND('מודל כלכלי'!$C$59*(1+0.03)^6,-4)))*0.5))))+(-PV(חישובים!$D$21,(('הנחות עסקה'!$D$72*'הנחות עסקה'!$I$70)/365),,((0.1*(ROUND('מודל כלכלי'!$C$59*(1+0.03)^6,-4)))+((('הנחות עסקה'!$D$72*'הנחות עסקה'!$I$70)/365)*חישובים!$D$23*(0.1*(ROUND('מודל כלכלי'!$C$59*(1+0.03)^6,-4)))*0.5)))))+(-PV(חישובים!$D$21/12,(('הנחות עסקה'!$D$72*'הנחות עסקה'!$I$70)/365*12),(-FV('מודל כלכלי'!$C$20,(6+(('הנחות עסקה'!$D$71-'הנחות עסקה'!$D$72)*'הנחות עסקה'!$I$70)/365),,'מודל כלכלי'!$C$53)))))*היוון!$C$26)),ROUND('מודל כלכלי'!$C$59*(1+0.03)^6,-4)))*'מודל כלכלי'!$C$14-'מודל כלכלי'!$C$68*(IF('מודל כלכלי'!$C$26="פליפ",((-PV(חישובים!$D$21/12,(('הנחות עסקה'!$D$72*'הנחות עסקה'!$I$70)/365*12),(-FV('מודל כלכלי'!$C$20,(6+(('הנחות עסקה'!$D$71-'הנחות עסקה'!$D$72)*'הנחות עסקה'!$I$70)/365),,'מודל כלכלי'!$C$53))))+((0.07*(ROUND('מודל כלכלי'!$C$59*(1+0.03)^6,-4)))+(0.13*(ROUND('מודל כלכלי'!$C$59*(1+0.03)^6,-4)))+(-PV(חישובים!$D$21,((('הנחות עסקה'!$D$72*'הנחות עסקה'!$I$70)-30)/365),,((0.7*(ROUND('מודל כלכלי'!$C$59*(1+0.03)^6,-4)))+(((('הנחות עסקה'!$D$72*'הנחות עסקה'!$I$70)-30)/365)*חישובים!$D$23*(0.7*(ROUND('מודל כלכלי'!$C$59*(1+0.03)^6,-4)))*0.5))))+(-PV(חישובים!$D$21,(('הנחות עסקה'!$D$72*'הנחות עסקה'!$I$70)/365),,((0.1*(ROUND('מודל כלכלי'!$C$59*(1+0.03)^6,-4)))+((('הנחות עסקה'!$D$72*'הנחות עסקה'!$I$70)/365)*חישובים!$D$23*(0.1*(ROUND('מודל כלכלי'!$C$59*(1+0.03)^6,-4)))*0.5)))))+(-(((0.07*(ROUND('מודל כלכלי'!$C$59*(1+0.03)^6,-4)))+(0.13*(ROUND('מודל כלכלי'!$C$59*(1+0.03)^6,-4)))+(-PV(חישובים!$D$21,((('הנחות עסקה'!$D$72*'הנחות עסקה'!$I$70)-30)/365),,((0.7*(ROUND('מודל כלכלי'!$C$59*(1+0.03)^6,-4)))+(((('הנחות עסקה'!$D$72*'הנחות עסקה'!$I$70)-30)/365)*חישובים!$D$23*(0.7*(ROUND('מודל כלכלי'!$C$59*(1+0.03)^6,-4)))*0.5))))+(-PV(חישובים!$D$21,(('הנחות עסקה'!$D$72*'הנחות עסקה'!$I$70)/365),,((0.1*(ROUND('מודל כלכלי'!$C$59*(1+0.03)^6,-4)))+((('הנחות עסקה'!$D$72*'הנחות עסקה'!$I$70)/365)*חישובים!$D$23*(0.1*(ROUND('מודל כלכלי'!$C$59*(1+0.03)^6,-4)))*0.5)))))+(-PV(חישובים!$D$21/12,(('הנחות עסקה'!$D$72*'הנחות עסקה'!$I$70)/365*12),(-FV('מודל כלכלי'!$C$20,(6+(('הנחות עסקה'!$D$71-'הנחות עסקה'!$D$72)*'הנחות עסקה'!$I$70)/365),,'מודל כלכלי'!$C$53)))))*היוון!$C$26)),ROUND('מודל כלכלי'!$C$59*(1+0.03)^6,-4)))*'מודל כלכלי'!$C$14+'מודל כלכלי'!$C$70,-3))+(ROUND(-FV(חישובים!$D$22,6*12,'מודל כלכלי'!$C$55),-3))+(-'מודל כלכלי'!$C$45)+(-MAX(0,(IF('מודל כלכלי'!$C$26="פליפ",((-PV(חישובים!$D$21/12,(('הנחות עסקה'!$D$72*'הנחות עסקה'!$I$70)/365*12),(-FV('מודל כלכלי'!$C$20,(6+(('הנחות עסקה'!$D$71-'הנחות עסקה'!$D$72)*'הנחות עסקה'!$I$70)/365),,'מודל כלכלי'!$C$53))))+((0.07*(ROUND('מודל כלכלי'!$C$59*(1+0.03)^6,-4)))+(0.13*(ROUND('מודל כלכלי'!$C$59*(1+0.03)^6,-4)))+(-PV(חישובים!$D$21,((('הנחות עסקה'!$D$72*'הנחות עסקה'!$I$70)-30)/365),,((0.7*(ROUND('מודל כלכלי'!$C$59*(1+0.03)^6,-4)))+(((('הנחות עסקה'!$D$72*'הנחות עסקה'!$I$70)-30)/365)*חישובים!$D$23*(0.7*(ROUND('מודל כלכלי'!$C$59*(1+0.03)^6,-4)))*0.5))))+(-PV(חישובים!$D$21,(('הנחות עסקה'!$D$72*'הנחות עסקה'!$I$70)/365),,((0.1*(ROUND('מודל כלכלי'!$C$59*(1+0.03)^6,-4)))+((('הנחות עסקה'!$D$72*'הנחות עסקה'!$I$70)/365)*חישובים!$D$23*(0.1*(ROUND('מודל כלכלי'!$C$59*(1+0.03)^6,-4)))*0.5)))))+(-(((0.07*(ROUND('מודל כלכלי'!$C$59*(1+0.03)^6,-4)))+(0.13*(ROUND('מודל כלכלי'!$C$59*(1+0.03)^6,-4)))+(-PV(חישובים!$D$21,((('הנחות עסקה'!$D$72*'הנחות עסקה'!$I$70)-30)/365),,((0.7*(ROUND('מודל כלכלי'!$C$59*(1+0.03)^6,-4)))+(((('הנחות עסקה'!$D$72*'הנחות עסקה'!$I$70)-30)/365)*חישובים!$D$23*(0.7*(ROUND('מודל כלכלי'!$C$59*(1+0.03)^6,-4)))*0.5))))+(-PV(חישובים!$D$21,(('הנחות עסקה'!$D$72*'הנחות עסקה'!$I$70)/365),,((0.1*(ROUND('מודל כלכלי'!$C$59*(1+0.03)^6,-4)))+((('הנחות עסקה'!$D$72*'הנחות עסקה'!$I$70)/365)*חישובים!$D$23*(0.1*(ROUND('מודל כלכלי'!$C$59*(1+0.03)^6,-4)))*0.5)))))+(-PV(חישובים!$D$21/12,(('הנחות עסקה'!$D$72*'הנחות עסקה'!$I$70)/365*12),(-FV('מודל כלכלי'!$C$20,(6+(('הנחות עסקה'!$D$71-'הנחות עסקה'!$D$72)*'הנחות עסקה'!$I$70)/365),,'מודל כלכלי'!$C$53)))))*היוון!$C$26)),ROUND('מודל כלכלי'!$C$59*(1+0.03)^6,-4)))-(חישובים!$D$28*(1+חישובים!$D$29)^6))*0.25),-4))+'מודל כלכלי'!$C$45)/'מודל כלכלי'!$C$45)^(1/6)-1</f>
        <v>0.21202784428272214</v>
      </c>
      <c r="D11" s="59">
        <f>(((ROUND((IF('מודל כלכלי'!$C$26="פליפ",((-PV(חישובים!$D$21/12,(('הנחות עסקה'!$D$72*'הנחות עסקה'!$I$70)/365*12),(-FV('מודל כלכלי'!$C$20,(7+(('הנחות עסקה'!$D$71-'הנחות עסקה'!$D$72)*'הנחות עסקה'!$I$70)/365),,'מודל כלכלי'!$C$53))))+((0.07*(ROUND('מודל כלכלי'!$C$59*(1+0.03)^7,-4)))+(0.13*(ROUND('מודל כלכלי'!$C$59*(1+0.03)^7,-4)))+(-PV(חישובים!$D$21,((('הנחות עסקה'!$D$72*'הנחות עסקה'!$I$70)-30)/365),,((0.7*(ROUND('מודל כלכלי'!$C$59*(1+0.03)^7,-4)))+(((('הנחות עסקה'!$D$72*'הנחות עסקה'!$I$70)-30)/365)*חישובים!$D$23*(0.7*(ROUND('מודל כלכלי'!$C$59*(1+0.03)^7,-4)))*0.5))))+(-PV(חישובים!$D$21,(('הנחות עסקה'!$D$72*'הנחות עסקה'!$I$70)/365),,((0.1*(ROUND('מודל כלכלי'!$C$59*(1+0.03)^7,-4)))+((('הנחות עסקה'!$D$72*'הנחות עסקה'!$I$70)/365)*חישובים!$D$23*(0.1*(ROUND('מודל כלכלי'!$C$59*(1+0.03)^7,-4)))*0.5)))))+(-(((0.07*(ROUND('מודל כלכלי'!$C$59*(1+0.03)^7,-4)))+(0.13*(ROUND('מודל כלכלי'!$C$59*(1+0.03)^7,-4)))+(-PV(חישובים!$D$21,((('הנחות עסקה'!$D$72*'הנחות עסקה'!$I$70)-30)/365),,((0.7*(ROUND('מודל כלכלי'!$C$59*(1+0.03)^7,-4)))+(((('הנחות עסקה'!$D$72*'הנחות עסקה'!$I$70)-30)/365)*חישובים!$D$23*(0.7*(ROUND('מודל כלכלי'!$C$59*(1+0.03)^7,-4)))*0.5))))+(-PV(חישובים!$D$21,(('הנחות עסקה'!$D$72*'הנחות עסקה'!$I$70)/365),,((0.1*(ROUND('מודל כלכלי'!$C$59*(1+0.03)^7,-4)))+((('הנחות עסקה'!$D$72*'הנחות עסקה'!$I$70)/365)*חישובים!$D$23*(0.1*(ROUND('מודל כלכלי'!$C$59*(1+0.03)^7,-4)))*0.5)))))+(-PV(חישובים!$D$21/12,(('הנחות עסקה'!$D$72*'הנחות עסקה'!$I$70)/365*12),(-FV('מודל כלכלי'!$C$20,(7+(('הנחות עסקה'!$D$71-'הנחות עסקה'!$D$72)*'הנחות עסקה'!$I$70)/365),,'מודל כלכלי'!$C$53)))))*היוון!$C$26)),ROUND('מודל כלכלי'!$C$59*(1+0.03)^7,-4)))+(ROUND(FV('מודל כלכלי'!$C$17/12,7*12,'מודל כלכלי'!$C$48,'מודל כלכלי'!$C$46),-4))+(ROUND(-'מודל כלכלי'!$C$66*(IF('מודל כלכלי'!$C$26="פליפ",((-PV(חישובים!$D$21/12,(('הנחות עסקה'!$D$72*'הנחות עסקה'!$I$70)/365*12),(-FV('מודל כלכלי'!$C$20,(7+(('הנחות עסקה'!$D$71-'הנחות עסקה'!$D$72)*'הנחות עסקה'!$I$70)/365),,'מודל כלכלי'!$C$53))))+((0.07*(ROUND('מודל כלכלי'!$C$59*(1+0.03)^7,-4)))+(0.13*(ROUND('מודל כלכלי'!$C$59*(1+0.03)^7,-4)))+(-PV(חישובים!$D$21,((('הנחות עסקה'!$D$72*'הנחות עסקה'!$I$70)-30)/365),,((0.7*(ROUND('מודל כלכלי'!$C$59*(1+0.03)^7,-4)))+(((('הנחות עסקה'!$D$72*'הנחות עסקה'!$I$70)-30)/365)*חישובים!$D$23*(0.7*(ROUND('מודל כלכלי'!$C$59*(1+0.03)^7,-4)))*0.5))))+(-PV(חישובים!$D$21,(('הנחות עסקה'!$D$72*'הנחות עסקה'!$I$70)/365),,((0.1*(ROUND('מודל כלכלי'!$C$59*(1+0.03)^7,-4)))+((('הנחות עסקה'!$D$72*'הנחות עסקה'!$I$70)/365)*חישובים!$D$23*(0.1*(ROUND('מודל כלכלי'!$C$59*(1+0.03)^7,-4)))*0.5)))))+(-(((0.07*(ROUND('מודל כלכלי'!$C$59*(1+0.03)^7,-4)))+(0.13*(ROUND('מודל כלכלי'!$C$59*(1+0.03)^7,-4)))+(-PV(חישובים!$D$21,((('הנחות עסקה'!$D$72*'הנחות עסקה'!$I$70)-30)/365),,((0.7*(ROUND('מודל כלכלי'!$C$59*(1+0.03)^7,-4)))+(((('הנחות עסקה'!$D$72*'הנחות עסקה'!$I$70)-30)/365)*חישובים!$D$23*(0.7*(ROUND('מודל כלכלי'!$C$59*(1+0.03)^7,-4)))*0.5))))+(-PV(חישובים!$D$21,(('הנחות עסקה'!$D$72*'הנחות עסקה'!$I$70)/365),,((0.1*(ROUND('מודל כלכלי'!$C$59*(1+0.03)^7,-4)))+((('הנחות עסקה'!$D$72*'הנחות עסקה'!$I$70)/365)*חישובים!$D$23*(0.1*(ROUND('מודל כלכלי'!$C$59*(1+0.03)^7,-4)))*0.5)))))+(-PV(חישובים!$D$21/12,(('הנחות עסקה'!$D$72*'הנחות עסקה'!$I$70)/365*12),(-FV('מודל כלכלי'!$C$20,(7+(('הנחות עסקה'!$D$71-'הנחות עסקה'!$D$72)*'הנחות עסקה'!$I$70)/365),,'מודל כלכלי'!$C$53)))))*היוון!$C$26)),ROUND('מודל כלכלי'!$C$59*(1+0.03)^7,-4)))*'מודל כלכלי'!$C$14-'מודל כלכלי'!$C$68*(IF('מודל כלכלי'!$C$26="פליפ",((-PV(חישובים!$D$21/12,(('הנחות עסקה'!$D$72*'הנחות עסקה'!$I$70)/365*12),(-FV('מודל כלכלי'!$C$20,(7+(('הנחות עסקה'!$D$71-'הנחות עסקה'!$D$72)*'הנחות עסקה'!$I$70)/365),,'מודל כלכלי'!$C$53))))+((0.07*(ROUND('מודל כלכלי'!$C$59*(1+0.03)^7,-4)))+(0.13*(ROUND('מודל כלכלי'!$C$59*(1+0.03)^7,-4)))+(-PV(חישובים!$D$21,((('הנחות עסקה'!$D$72*'הנחות עסקה'!$I$70)-30)/365),,((0.7*(ROUND('מודל כלכלי'!$C$59*(1+0.03)^7,-4)))+(((('הנחות עסקה'!$D$72*'הנחות עסקה'!$I$70)-30)/365)*חישובים!$D$23*(0.7*(ROUND('מודל כלכלי'!$C$59*(1+0.03)^7,-4)))*0.5))))+(-PV(חישובים!$D$21,(('הנחות עסקה'!$D$72*'הנחות עסקה'!$I$70)/365),,((0.1*(ROUND('מודל כלכלי'!$C$59*(1+0.03)^7,-4)))+((('הנחות עסקה'!$D$72*'הנחות עסקה'!$I$70)/365)*חישובים!$D$23*(0.1*(ROUND('מודל כלכלי'!$C$59*(1+0.03)^7,-4)))*0.5)))))+(-(((0.07*(ROUND('מודל כלכלי'!$C$59*(1+0.03)^7,-4)))+(0.13*(ROUND('מודל כלכלי'!$C$59*(1+0.03)^7,-4)))+(-PV(חישובים!$D$21,((('הנחות עסקה'!$D$72*'הנחות עסקה'!$I$70)-30)/365),,((0.7*(ROUND('מודל כלכלי'!$C$59*(1+0.03)^7,-4)))+(((('הנחות עסקה'!$D$72*'הנחות עסקה'!$I$70)-30)/365)*חישובים!$D$23*(0.7*(ROUND('מודל כלכלי'!$C$59*(1+0.03)^7,-4)))*0.5))))+(-PV(חישובים!$D$21,(('הנחות עסקה'!$D$72*'הנחות עסקה'!$I$70)/365),,((0.1*(ROUND('מודל כלכלי'!$C$59*(1+0.03)^7,-4)))+((('הנחות עסקה'!$D$72*'הנחות עסקה'!$I$70)/365)*חישובים!$D$23*(0.1*(ROUND('מודל כלכלי'!$C$59*(1+0.03)^7,-4)))*0.5)))))+(-PV(חישובים!$D$21/12,(('הנחות עסקה'!$D$72*'הנחות עסקה'!$I$70)/365*12),(-FV('מודל כלכלי'!$C$20,(7+(('הנחות עסקה'!$D$71-'הנחות עסקה'!$D$72)*'הנחות עסקה'!$I$70)/365),,'מודל כלכלי'!$C$53)))))*היוון!$C$26)),ROUND('מודל כלכלי'!$C$59*(1+0.03)^7,-4)))*'מודל כלכלי'!$C$14+'מודל כלכלי'!$C$70,-3))+(ROUND(-FV(חישובים!$D$22,7*12,'מודל כלכלי'!$C$55),-3))+(-'מודל כלכלי'!$C$45)+(-MAX(0,(IF('מודל כלכלי'!$C$26="פליפ",((-PV(חישובים!$D$21/12,(('הנחות עסקה'!$D$72*'הנחות עסקה'!$I$70)/365*12),(-FV('מודל כלכלי'!$C$20,(7+(('הנחות עסקה'!$D$71-'הנחות עסקה'!$D$72)*'הנחות עסקה'!$I$70)/365),,'מודל כלכלי'!$C$53))))+((0.07*(ROUND('מודל כלכלי'!$C$59*(1+0.03)^7,-4)))+(0.13*(ROUND('מודל כלכלי'!$C$59*(1+0.03)^7,-4)))+(-PV(חישובים!$D$21,((('הנחות עסקה'!$D$72*'הנחות עסקה'!$I$70)-30)/365),,((0.7*(ROUND('מודל כלכלי'!$C$59*(1+0.03)^7,-4)))+(((('הנחות עסקה'!$D$72*'הנחות עסקה'!$I$70)-30)/365)*חישובים!$D$23*(0.7*(ROUND('מודל כלכלי'!$C$59*(1+0.03)^7,-4)))*0.5))))+(-PV(חישובים!$D$21,(('הנחות עסקה'!$D$72*'הנחות עסקה'!$I$70)/365),,((0.1*(ROUND('מודל כלכלי'!$C$59*(1+0.03)^7,-4)))+((('הנחות עסקה'!$D$72*'הנחות עסקה'!$I$70)/365)*חישובים!$D$23*(0.1*(ROUND('מודל כלכלי'!$C$59*(1+0.03)^7,-4)))*0.5)))))+(-(((0.07*(ROUND('מודל כלכלי'!$C$59*(1+0.03)^7,-4)))+(0.13*(ROUND('מודל כלכלי'!$C$59*(1+0.03)^7,-4)))+(-PV(חישובים!$D$21,((('הנחות עסקה'!$D$72*'הנחות עסקה'!$I$70)-30)/365),,((0.7*(ROUND('מודל כלכלי'!$C$59*(1+0.03)^7,-4)))+(((('הנחות עסקה'!$D$72*'הנחות עסקה'!$I$70)-30)/365)*חישובים!$D$23*(0.7*(ROUND('מודל כלכלי'!$C$59*(1+0.03)^7,-4)))*0.5))))+(-PV(חישובים!$D$21,(('הנחות עסקה'!$D$72*'הנחות עסקה'!$I$70)/365),,((0.1*(ROUND('מודל כלכלי'!$C$59*(1+0.03)^7,-4)))+((('הנחות עסקה'!$D$72*'הנחות עסקה'!$I$70)/365)*חישובים!$D$23*(0.1*(ROUND('מודל כלכלי'!$C$59*(1+0.03)^7,-4)))*0.5)))))+(-PV(חישובים!$D$21/12,(('הנחות עסקה'!$D$72*'הנחות עסקה'!$I$70)/365*12),(-FV('מודל כלכלי'!$C$20,(7+(('הנחות עסקה'!$D$71-'הנחות עסקה'!$D$72)*'הנחות עסקה'!$I$70)/365),,'מודל כלכלי'!$C$53)))))*היוון!$C$26)),ROUND('מודל כלכלי'!$C$59*(1+0.03)^7,-4)))-(חישובים!$D$28*(1+חישובים!$D$29)^7))*0.25),-4))+'מודל כלכלי'!$C$45)/'מודל כלכלי'!$C$45)^(1/7)-1</f>
        <v>0.18708916185200009</v>
      </c>
      <c r="E11" s="59">
        <f>(((ROUND((IF('מודל כלכלי'!$C$26="פליפ",((-PV(חישובים!$D$21/12,(('הנחות עסקה'!$D$72*'הנחות עסקה'!$I$70)/365*12),(-FV('מודל כלכלי'!$C$20,(8+(('הנחות עסקה'!$D$71-'הנחות עסקה'!$D$72)*'הנחות עסקה'!$I$70)/365),,'מודל כלכלי'!$C$53))))+((0.07*(ROUND('מודל כלכלי'!$C$59*(1+0.03)^8,-4)))+(0.13*(ROUND('מודל כלכלי'!$C$59*(1+0.03)^8,-4)))+(-PV(חישובים!$D$21,((('הנחות עסקה'!$D$72*'הנחות עסקה'!$I$70)-30)/365),,((0.7*(ROUND('מודל כלכלי'!$C$59*(1+0.03)^8,-4)))+(((('הנחות עסקה'!$D$72*'הנחות עסקה'!$I$70)-30)/365)*חישובים!$D$23*(0.7*(ROUND('מודל כלכלי'!$C$59*(1+0.03)^8,-4)))*0.5))))+(-PV(חישובים!$D$21,(('הנחות עסקה'!$D$72*'הנחות עסקה'!$I$70)/365),,((0.1*(ROUND('מודל כלכלי'!$C$59*(1+0.03)^8,-4)))+((('הנחות עסקה'!$D$72*'הנחות עסקה'!$I$70)/365)*חישובים!$D$23*(0.1*(ROUND('מודל כלכלי'!$C$59*(1+0.03)^8,-4)))*0.5)))))+(-(((0.07*(ROUND('מודל כלכלי'!$C$59*(1+0.03)^8,-4)))+(0.13*(ROUND('מודל כלכלי'!$C$59*(1+0.03)^8,-4)))+(-PV(חישובים!$D$21,((('הנחות עסקה'!$D$72*'הנחות עסקה'!$I$70)-30)/365),,((0.7*(ROUND('מודל כלכלי'!$C$59*(1+0.03)^8,-4)))+(((('הנחות עסקה'!$D$72*'הנחות עסקה'!$I$70)-30)/365)*חישובים!$D$23*(0.7*(ROUND('מודל כלכלי'!$C$59*(1+0.03)^8,-4)))*0.5))))+(-PV(חישובים!$D$21,(('הנחות עסקה'!$D$72*'הנחות עסקה'!$I$70)/365),,((0.1*(ROUND('מודל כלכלי'!$C$59*(1+0.03)^8,-4)))+((('הנחות עסקה'!$D$72*'הנחות עסקה'!$I$70)/365)*חישובים!$D$23*(0.1*(ROUND('מודל כלכלי'!$C$59*(1+0.03)^8,-4)))*0.5)))))+(-PV(חישובים!$D$21/12,(('הנחות עסקה'!$D$72*'הנחות עסקה'!$I$70)/365*12),(-FV('מודל כלכלי'!$C$20,(8+(('הנחות עסקה'!$D$71-'הנחות עסקה'!$D$72)*'הנחות עסקה'!$I$70)/365),,'מודל כלכלי'!$C$53)))))*היוון!$C$26)),ROUND('מודל כלכלי'!$C$59*(1+0.03)^8,-4)))+(ROUND(FV('מודל כלכלי'!$C$17/12,8*12,'מודל כלכלי'!$C$48,'מודל כלכלי'!$C$46),-4))+(ROUND(-'מודל כלכלי'!$C$66*(IF('מודל כלכלי'!$C$26="פליפ",((-PV(חישובים!$D$21/12,(('הנחות עסקה'!$D$72*'הנחות עסקה'!$I$70)/365*12),(-FV('מודל כלכלי'!$C$20,(8+(('הנחות עסקה'!$D$71-'הנחות עסקה'!$D$72)*'הנחות עסקה'!$I$70)/365),,'מודל כלכלי'!$C$53))))+((0.07*(ROUND('מודל כלכלי'!$C$59*(1+0.03)^8,-4)))+(0.13*(ROUND('מודל כלכלי'!$C$59*(1+0.03)^8,-4)))+(-PV(חישובים!$D$21,((('הנחות עסקה'!$D$72*'הנחות עסקה'!$I$70)-30)/365),,((0.7*(ROUND('מודל כלכלי'!$C$59*(1+0.03)^8,-4)))+(((('הנחות עסקה'!$D$72*'הנחות עסקה'!$I$70)-30)/365)*חישובים!$D$23*(0.7*(ROUND('מודל כלכלי'!$C$59*(1+0.03)^8,-4)))*0.5))))+(-PV(חישובים!$D$21,(('הנחות עסקה'!$D$72*'הנחות עסקה'!$I$70)/365),,((0.1*(ROUND('מודל כלכלי'!$C$59*(1+0.03)^8,-4)))+((('הנחות עסקה'!$D$72*'הנחות עסקה'!$I$70)/365)*חישובים!$D$23*(0.1*(ROUND('מודל כלכלי'!$C$59*(1+0.03)^8,-4)))*0.5)))))+(-(((0.07*(ROUND('מודל כלכלי'!$C$59*(1+0.03)^8,-4)))+(0.13*(ROUND('מודל כלכלי'!$C$59*(1+0.03)^8,-4)))+(-PV(חישובים!$D$21,((('הנחות עסקה'!$D$72*'הנחות עסקה'!$I$70)-30)/365),,((0.7*(ROUND('מודל כלכלי'!$C$59*(1+0.03)^8,-4)))+(((('הנחות עסקה'!$D$72*'הנחות עסקה'!$I$70)-30)/365)*חישובים!$D$23*(0.7*(ROUND('מודל כלכלי'!$C$59*(1+0.03)^8,-4)))*0.5))))+(-PV(חישובים!$D$21,(('הנחות עסקה'!$D$72*'הנחות עסקה'!$I$70)/365),,((0.1*(ROUND('מודל כלכלי'!$C$59*(1+0.03)^8,-4)))+((('הנחות עסקה'!$D$72*'הנחות עסקה'!$I$70)/365)*חישובים!$D$23*(0.1*(ROUND('מודל כלכלי'!$C$59*(1+0.03)^8,-4)))*0.5)))))+(-PV(חישובים!$D$21/12,(('הנחות עסקה'!$D$72*'הנחות עסקה'!$I$70)/365*12),(-FV('מודל כלכלי'!$C$20,(8+(('הנחות עסקה'!$D$71-'הנחות עסקה'!$D$72)*'הנחות עסקה'!$I$70)/365),,'מודל כלכלי'!$C$53)))))*היוון!$C$26)),ROUND('מודל כלכלי'!$C$59*(1+0.03)^8,-4)))*'מודל כלכלי'!$C$14-'מודל כלכלי'!$C$68*(IF('מודל כלכלי'!$C$26="פליפ",((-PV(חישובים!$D$21/12,(('הנחות עסקה'!$D$72*'הנחות עסקה'!$I$70)/365*12),(-FV('מודל כלכלי'!$C$20,(8+(('הנחות עסקה'!$D$71-'הנחות עסקה'!$D$72)*'הנחות עסקה'!$I$70)/365),,'מודל כלכלי'!$C$53))))+((0.07*(ROUND('מודל כלכלי'!$C$59*(1+0.03)^8,-4)))+(0.13*(ROUND('מודל כלכלי'!$C$59*(1+0.03)^8,-4)))+(-PV(חישובים!$D$21,((('הנחות עסקה'!$D$72*'הנחות עסקה'!$I$70)-30)/365),,((0.7*(ROUND('מודל כלכלי'!$C$59*(1+0.03)^8,-4)))+(((('הנחות עסקה'!$D$72*'הנחות עסקה'!$I$70)-30)/365)*חישובים!$D$23*(0.7*(ROUND('מודל כלכלי'!$C$59*(1+0.03)^8,-4)))*0.5))))+(-PV(חישובים!$D$21,(('הנחות עסקה'!$D$72*'הנחות עסקה'!$I$70)/365),,((0.1*(ROUND('מודל כלכלי'!$C$59*(1+0.03)^8,-4)))+((('הנחות עסקה'!$D$72*'הנחות עסקה'!$I$70)/365)*חישובים!$D$23*(0.1*(ROUND('מודל כלכלי'!$C$59*(1+0.03)^8,-4)))*0.5)))))+(-(((0.07*(ROUND('מודל כלכלי'!$C$59*(1+0.03)^8,-4)))+(0.13*(ROUND('מודל כלכלי'!$C$59*(1+0.03)^8,-4)))+(-PV(חישובים!$D$21,((('הנחות עסקה'!$D$72*'הנחות עסקה'!$I$70)-30)/365),,((0.7*(ROUND('מודל כלכלי'!$C$59*(1+0.03)^8,-4)))+(((('הנחות עסקה'!$D$72*'הנחות עסקה'!$I$70)-30)/365)*חישובים!$D$23*(0.7*(ROUND('מודל כלכלי'!$C$59*(1+0.03)^8,-4)))*0.5))))+(-PV(חישובים!$D$21,(('הנחות עסקה'!$D$72*'הנחות עסקה'!$I$70)/365),,((0.1*(ROUND('מודל כלכלי'!$C$59*(1+0.03)^8,-4)))+((('הנחות עסקה'!$D$72*'הנחות עסקה'!$I$70)/365)*חישובים!$D$23*(0.1*(ROUND('מודל כלכלי'!$C$59*(1+0.03)^8,-4)))*0.5)))))+(-PV(חישובים!$D$21/12,(('הנחות עסקה'!$D$72*'הנחות עסקה'!$I$70)/365*12),(-FV('מודל כלכלי'!$C$20,(8+(('הנחות עסקה'!$D$71-'הנחות עסקה'!$D$72)*'הנחות עסקה'!$I$70)/365),,'מודל כלכלי'!$C$53)))))*היוון!$C$26)),ROUND('מודל כלכלי'!$C$59*(1+0.03)^8,-4)))*'מודל כלכלי'!$C$14+'מודל כלכלי'!$C$70,-3))+(ROUND(-FV(חישובים!$D$22,8*12,'מודל כלכלי'!$C$55),-3))+(-'מודל כלכלי'!$C$45)+(-MAX(0,(IF('מודל כלכלי'!$C$26="פליפ",((-PV(חישובים!$D$21/12,(('הנחות עסקה'!$D$72*'הנחות עסקה'!$I$70)/365*12),(-FV('מודל כלכלי'!$C$20,(8+(('הנחות עסקה'!$D$71-'הנחות עסקה'!$D$72)*'הנחות עסקה'!$I$70)/365),,'מודל כלכלי'!$C$53))))+((0.07*(ROUND('מודל כלכלי'!$C$59*(1+0.03)^8,-4)))+(0.13*(ROUND('מודל כלכלי'!$C$59*(1+0.03)^8,-4)))+(-PV(חישובים!$D$21,((('הנחות עסקה'!$D$72*'הנחות עסקה'!$I$70)-30)/365),,((0.7*(ROUND('מודל כלכלי'!$C$59*(1+0.03)^8,-4)))+(((('הנחות עסקה'!$D$72*'הנחות עסקה'!$I$70)-30)/365)*חישובים!$D$23*(0.7*(ROUND('מודל כלכלי'!$C$59*(1+0.03)^8,-4)))*0.5))))+(-PV(חישובים!$D$21,(('הנחות עסקה'!$D$72*'הנחות עסקה'!$I$70)/365),,((0.1*(ROUND('מודל כלכלי'!$C$59*(1+0.03)^8,-4)))+((('הנחות עסקה'!$D$72*'הנחות עסקה'!$I$70)/365)*חישובים!$D$23*(0.1*(ROUND('מודל כלכלי'!$C$59*(1+0.03)^8,-4)))*0.5)))))+(-(((0.07*(ROUND('מודל כלכלי'!$C$59*(1+0.03)^8,-4)))+(0.13*(ROUND('מודל כלכלי'!$C$59*(1+0.03)^8,-4)))+(-PV(חישובים!$D$21,((('הנחות עסקה'!$D$72*'הנחות עסקה'!$I$70)-30)/365),,((0.7*(ROUND('מודל כלכלי'!$C$59*(1+0.03)^8,-4)))+(((('הנחות עסקה'!$D$72*'הנחות עסקה'!$I$70)-30)/365)*חישובים!$D$23*(0.7*(ROUND('מודל כלכלי'!$C$59*(1+0.03)^8,-4)))*0.5))))+(-PV(חישובים!$D$21,(('הנחות עסקה'!$D$72*'הנחות עסקה'!$I$70)/365),,((0.1*(ROUND('מודל כלכלי'!$C$59*(1+0.03)^8,-4)))+((('הנחות עסקה'!$D$72*'הנחות עסקה'!$I$70)/365)*חישובים!$D$23*(0.1*(ROUND('מודל כלכלי'!$C$59*(1+0.03)^8,-4)))*0.5)))))+(-PV(חישובים!$D$21/12,(('הנחות עסקה'!$D$72*'הנחות עסקה'!$I$70)/365*12),(-FV('מודל כלכלי'!$C$20,(8+(('הנחות עסקה'!$D$71-'הנחות עסקה'!$D$72)*'הנחות עסקה'!$I$70)/365),,'מודל כלכלי'!$C$53)))))*היוון!$C$26)),ROUND('מודל כלכלי'!$C$59*(1+0.03)^8,-4)))-(חישובים!$D$28*(1+חישובים!$D$29)^8))*0.25),-4))+'מודל כלכלי'!$C$45)/'מודל כלכלי'!$C$45)^(1/8)-1</f>
        <v>0.16713624978713981</v>
      </c>
      <c r="F11" s="59">
        <f>(((ROUND((IF('מודל כלכלי'!$C$26="פליפ",((-PV(חישובים!$D$21/12,(('הנחות עסקה'!$D$72*'הנחות עסקה'!$I$70)/365*12),(-FV('מודל כלכלי'!$C$20,(9+(('הנחות עסקה'!$D$71-'הנחות עסקה'!$D$72)*'הנחות עסקה'!$I$70)/365),,'מודל כלכלי'!$C$53))))+((0.07*(ROUND('מודל כלכלי'!$C$59*(1+0.03)^9,-4)))+(0.13*(ROUND('מודל כלכלי'!$C$59*(1+0.03)^9,-4)))+(-PV(חישובים!$D$21,((('הנחות עסקה'!$D$72*'הנחות עסקה'!$I$70)-30)/365),,((0.7*(ROUND('מודל כלכלי'!$C$59*(1+0.03)^9,-4)))+(((('הנחות עסקה'!$D$72*'הנחות עסקה'!$I$70)-30)/365)*חישובים!$D$23*(0.7*(ROUND('מודל כלכלי'!$C$59*(1+0.03)^9,-4)))*0.5))))+(-PV(חישובים!$D$21,(('הנחות עסקה'!$D$72*'הנחות עסקה'!$I$70)/365),,((0.1*(ROUND('מודל כלכלי'!$C$59*(1+0.03)^9,-4)))+((('הנחות עסקה'!$D$72*'הנחות עסקה'!$I$70)/365)*חישובים!$D$23*(0.1*(ROUND('מודל כלכלי'!$C$59*(1+0.03)^9,-4)))*0.5)))))+(-(((0.07*(ROUND('מודל כלכלי'!$C$59*(1+0.03)^9,-4)))+(0.13*(ROUND('מודל כלכלי'!$C$59*(1+0.03)^9,-4)))+(-PV(חישובים!$D$21,((('הנחות עסקה'!$D$72*'הנחות עסקה'!$I$70)-30)/365),,((0.7*(ROUND('מודל כלכלי'!$C$59*(1+0.03)^9,-4)))+(((('הנחות עסקה'!$D$72*'הנחות עסקה'!$I$70)-30)/365)*חישובים!$D$23*(0.7*(ROUND('מודל כלכלי'!$C$59*(1+0.03)^9,-4)))*0.5))))+(-PV(חישובים!$D$21,(('הנחות עסקה'!$D$72*'הנחות עסקה'!$I$70)/365),,((0.1*(ROUND('מודל כלכלי'!$C$59*(1+0.03)^9,-4)))+((('הנחות עסקה'!$D$72*'הנחות עסקה'!$I$70)/365)*חישובים!$D$23*(0.1*(ROUND('מודל כלכלי'!$C$59*(1+0.03)^9,-4)))*0.5)))))+(-PV(חישובים!$D$21/12,(('הנחות עסקה'!$D$72*'הנחות עסקה'!$I$70)/365*12),(-FV('מודל כלכלי'!$C$20,(9+(('הנחות עסקה'!$D$71-'הנחות עסקה'!$D$72)*'הנחות עסקה'!$I$70)/365),,'מודל כלכלי'!$C$53)))))*היוון!$C$26)),ROUND('מודל כלכלי'!$C$59*(1+0.03)^9,-4)))+(ROUND(FV('מודל כלכלי'!$C$17/12,9*12,'מודל כלכלי'!$C$48,'מודל כלכלי'!$C$46),-4))+(ROUND(-'מודל כלכלי'!$C$66*(IF('מודל כלכלי'!$C$26="פליפ",((-PV(חישובים!$D$21/12,(('הנחות עסקה'!$D$72*'הנחות עסקה'!$I$70)/365*12),(-FV('מודל כלכלי'!$C$20,(9+(('הנחות עסקה'!$D$71-'הנחות עסקה'!$D$72)*'הנחות עסקה'!$I$70)/365),,'מודל כלכלי'!$C$53))))+((0.07*(ROUND('מודל כלכלי'!$C$59*(1+0.03)^9,-4)))+(0.13*(ROUND('מודל כלכלי'!$C$59*(1+0.03)^9,-4)))+(-PV(חישובים!$D$21,((('הנחות עסקה'!$D$72*'הנחות עסקה'!$I$70)-30)/365),,((0.7*(ROUND('מודל כלכלי'!$C$59*(1+0.03)^9,-4)))+(((('הנחות עסקה'!$D$72*'הנחות עסקה'!$I$70)-30)/365)*חישובים!$D$23*(0.7*(ROUND('מודל כלכלי'!$C$59*(1+0.03)^9,-4)))*0.5))))+(-PV(חישובים!$D$21,(('הנחות עסקה'!$D$72*'הנחות עסקה'!$I$70)/365),,((0.1*(ROUND('מודל כלכלי'!$C$59*(1+0.03)^9,-4)))+((('הנחות עסקה'!$D$72*'הנחות עסקה'!$I$70)/365)*חישובים!$D$23*(0.1*(ROUND('מודל כלכלי'!$C$59*(1+0.03)^9,-4)))*0.5)))))+(-(((0.07*(ROUND('מודל כלכלי'!$C$59*(1+0.03)^9,-4)))+(0.13*(ROUND('מודל כלכלי'!$C$59*(1+0.03)^9,-4)))+(-PV(חישובים!$D$21,((('הנחות עסקה'!$D$72*'הנחות עסקה'!$I$70)-30)/365),,((0.7*(ROUND('מודל כלכלי'!$C$59*(1+0.03)^9,-4)))+(((('הנחות עסקה'!$D$72*'הנחות עסקה'!$I$70)-30)/365)*חישובים!$D$23*(0.7*(ROUND('מודל כלכלי'!$C$59*(1+0.03)^9,-4)))*0.5))))+(-PV(חישובים!$D$21,(('הנחות עסקה'!$D$72*'הנחות עסקה'!$I$70)/365),,((0.1*(ROUND('מודל כלכלי'!$C$59*(1+0.03)^9,-4)))+((('הנחות עסקה'!$D$72*'הנחות עסקה'!$I$70)/365)*חישובים!$D$23*(0.1*(ROUND('מודל כלכלי'!$C$59*(1+0.03)^9,-4)))*0.5)))))+(-PV(חישובים!$D$21/12,(('הנחות עסקה'!$D$72*'הנחות עסקה'!$I$70)/365*12),(-FV('מודל כלכלי'!$C$20,(9+(('הנחות עסקה'!$D$71-'הנחות עסקה'!$D$72)*'הנחות עסקה'!$I$70)/365),,'מודל כלכלי'!$C$53)))))*היוון!$C$26)),ROUND('מודל כלכלי'!$C$59*(1+0.03)^9,-4)))*'מודל כלכלי'!$C$14-'מודל כלכלי'!$C$68*(IF('מודל כלכלי'!$C$26="פליפ",((-PV(חישובים!$D$21/12,(('הנחות עסקה'!$D$72*'הנחות עסקה'!$I$70)/365*12),(-FV('מודל כלכלי'!$C$20,(9+(('הנחות עסקה'!$D$71-'הנחות עסקה'!$D$72)*'הנחות עסקה'!$I$70)/365),,'מודל כלכלי'!$C$53))))+((0.07*(ROUND('מודל כלכלי'!$C$59*(1+0.03)^9,-4)))+(0.13*(ROUND('מודל כלכלי'!$C$59*(1+0.03)^9,-4)))+(-PV(חישובים!$D$21,((('הנחות עסקה'!$D$72*'הנחות עסקה'!$I$70)-30)/365),,((0.7*(ROUND('מודל כלכלי'!$C$59*(1+0.03)^9,-4)))+(((('הנחות עסקה'!$D$72*'הנחות עסקה'!$I$70)-30)/365)*חישובים!$D$23*(0.7*(ROUND('מודל כלכלי'!$C$59*(1+0.03)^9,-4)))*0.5))))+(-PV(חישובים!$D$21,(('הנחות עסקה'!$D$72*'הנחות עסקה'!$I$70)/365),,((0.1*(ROUND('מודל כלכלי'!$C$59*(1+0.03)^9,-4)))+((('הנחות עסקה'!$D$72*'הנחות עסקה'!$I$70)/365)*חישובים!$D$23*(0.1*(ROUND('מודל כלכלי'!$C$59*(1+0.03)^9,-4)))*0.5)))))+(-(((0.07*(ROUND('מודל כלכלי'!$C$59*(1+0.03)^9,-4)))+(0.13*(ROUND('מודל כלכלי'!$C$59*(1+0.03)^9,-4)))+(-PV(חישובים!$D$21,((('הנחות עסקה'!$D$72*'הנחות עסקה'!$I$70)-30)/365),,((0.7*(ROUND('מודל כלכלי'!$C$59*(1+0.03)^9,-4)))+(((('הנחות עסקה'!$D$72*'הנחות עסקה'!$I$70)-30)/365)*חישובים!$D$23*(0.7*(ROUND('מודל כלכלי'!$C$59*(1+0.03)^9,-4)))*0.5))))+(-PV(חישובים!$D$21,(('הנחות עסקה'!$D$72*'הנחות עסקה'!$I$70)/365),,((0.1*(ROUND('מודל כלכלי'!$C$59*(1+0.03)^9,-4)))+((('הנחות עסקה'!$D$72*'הנחות עסקה'!$I$70)/365)*חישובים!$D$23*(0.1*(ROUND('מודל כלכלי'!$C$59*(1+0.03)^9,-4)))*0.5)))))+(-PV(חישובים!$D$21/12,(('הנחות עסקה'!$D$72*'הנחות עסקה'!$I$70)/365*12),(-FV('מודל כלכלי'!$C$20,(9+(('הנחות עסקה'!$D$71-'הנחות עסקה'!$D$72)*'הנחות עסקה'!$I$70)/365),,'מודל כלכלי'!$C$53)))))*היוון!$C$26)),ROUND('מודל כלכלי'!$C$59*(1+0.03)^9,-4)))*'מודל כלכלי'!$C$14+'מודל כלכלי'!$C$70,-3))+(ROUND(-FV(חישובים!$D$22,9*12,'מודל כלכלי'!$C$55),-3))+(-'מודל כלכלי'!$C$45)+(-MAX(0,(IF('מודל כלכלי'!$C$26="פליפ",((-PV(חישובים!$D$21/12,(('הנחות עסקה'!$D$72*'הנחות עסקה'!$I$70)/365*12),(-FV('מודל כלכלי'!$C$20,(9+(('הנחות עסקה'!$D$71-'הנחות עסקה'!$D$72)*'הנחות עסקה'!$I$70)/365),,'מודל כלכלי'!$C$53))))+((0.07*(ROUND('מודל כלכלי'!$C$59*(1+0.03)^9,-4)))+(0.13*(ROUND('מודל כלכלי'!$C$59*(1+0.03)^9,-4)))+(-PV(חישובים!$D$21,((('הנחות עסקה'!$D$72*'הנחות עסקה'!$I$70)-30)/365),,((0.7*(ROUND('מודל כלכלי'!$C$59*(1+0.03)^9,-4)))+(((('הנחות עסקה'!$D$72*'הנחות עסקה'!$I$70)-30)/365)*חישובים!$D$23*(0.7*(ROUND('מודל כלכלי'!$C$59*(1+0.03)^9,-4)))*0.5))))+(-PV(חישובים!$D$21,(('הנחות עסקה'!$D$72*'הנחות עסקה'!$I$70)/365),,((0.1*(ROUND('מודל כלכלי'!$C$59*(1+0.03)^9,-4)))+((('הנחות עסקה'!$D$72*'הנחות עסקה'!$I$70)/365)*חישובים!$D$23*(0.1*(ROUND('מודל כלכלי'!$C$59*(1+0.03)^9,-4)))*0.5)))))+(-(((0.07*(ROUND('מודל כלכלי'!$C$59*(1+0.03)^9,-4)))+(0.13*(ROUND('מודל כלכלי'!$C$59*(1+0.03)^9,-4)))+(-PV(חישובים!$D$21,((('הנחות עסקה'!$D$72*'הנחות עסקה'!$I$70)-30)/365),,((0.7*(ROUND('מודל כלכלי'!$C$59*(1+0.03)^9,-4)))+(((('הנחות עסקה'!$D$72*'הנחות עסקה'!$I$70)-30)/365)*חישובים!$D$23*(0.7*(ROUND('מודל כלכלי'!$C$59*(1+0.03)^9,-4)))*0.5))))+(-PV(חישובים!$D$21,(('הנחות עסקה'!$D$72*'הנחות עסקה'!$I$70)/365),,((0.1*(ROUND('מודל כלכלי'!$C$59*(1+0.03)^9,-4)))+((('הנחות עסקה'!$D$72*'הנחות עסקה'!$I$70)/365)*חישובים!$D$23*(0.1*(ROUND('מודל כלכלי'!$C$59*(1+0.03)^9,-4)))*0.5)))))+(-PV(חישובים!$D$21/12,(('הנחות עסקה'!$D$72*'הנחות עסקה'!$I$70)/365*12),(-FV('מודל כלכלי'!$C$20,(9+(('הנחות עסקה'!$D$71-'הנחות עסקה'!$D$72)*'הנחות עסקה'!$I$70)/365),,'מודל כלכלי'!$C$53)))))*היוון!$C$26)),ROUND('מודל כלכלי'!$C$59*(1+0.03)^9,-4)))-(חישובים!$D$28*(1+חישובים!$D$29)^9))*0.25),-4))+'מודל כלכלי'!$C$45)/'מודל כלכלי'!$C$45)^(1/9)-1</f>
        <v>0.15277573350360196</v>
      </c>
      <c r="G11" s="59">
        <f>(((ROUND((IF('מודל כלכלי'!$C$26="פליפ",((-PV(חישובים!$D$21/12,(('הנחות עסקה'!$D$72*'הנחות עסקה'!$I$70)/365*12),(-FV('מודל כלכלי'!$C$20,(10+(('הנחות עסקה'!$D$71-'הנחות עסקה'!$D$72)*'הנחות עסקה'!$I$70)/365),,'מודל כלכלי'!$C$53))))+((0.07*(ROUND('מודל כלכלי'!$C$59*(1+0.03)^10,-4)))+(0.13*(ROUND('מודל כלכלי'!$C$59*(1+0.03)^10,-4)))+(-PV(חישובים!$D$21,((('הנחות עסקה'!$D$72*'הנחות עסקה'!$I$70)-30)/365),,((0.7*(ROUND('מודל כלכלי'!$C$59*(1+0.03)^10,-4)))+(((('הנחות עסקה'!$D$72*'הנחות עסקה'!$I$70)-30)/365)*חישובים!$D$23*(0.7*(ROUND('מודל כלכלי'!$C$59*(1+0.03)^10,-4)))*0.5))))+(-PV(חישובים!$D$21,(('הנחות עסקה'!$D$72*'הנחות עסקה'!$I$70)/365),,((0.1*(ROUND('מודל כלכלי'!$C$59*(1+0.03)^10,-4)))+((('הנחות עסקה'!$D$72*'הנחות עסקה'!$I$70)/365)*חישובים!$D$23*(0.1*(ROUND('מודל כלכלי'!$C$59*(1+0.03)^10,-4)))*0.5)))))+(-(((0.07*(ROUND('מודל כלכלי'!$C$59*(1+0.03)^10,-4)))+(0.13*(ROUND('מודל כלכלי'!$C$59*(1+0.03)^10,-4)))+(-PV(חישובים!$D$21,((('הנחות עסקה'!$D$72*'הנחות עסקה'!$I$70)-30)/365),,((0.7*(ROUND('מודל כלכלי'!$C$59*(1+0.03)^10,-4)))+(((('הנחות עסקה'!$D$72*'הנחות עסקה'!$I$70)-30)/365)*חישובים!$D$23*(0.7*(ROUND('מודל כלכלי'!$C$59*(1+0.03)^10,-4)))*0.5))))+(-PV(חישובים!$D$21,(('הנחות עסקה'!$D$72*'הנחות עסקה'!$I$70)/365),,((0.1*(ROUND('מודל כלכלי'!$C$59*(1+0.03)^10,-4)))+((('הנחות עסקה'!$D$72*'הנחות עסקה'!$I$70)/365)*חישובים!$D$23*(0.1*(ROUND('מודל כלכלי'!$C$59*(1+0.03)^10,-4)))*0.5)))))+(-PV(חישובים!$D$21/12,(('הנחות עסקה'!$D$72*'הנחות עסקה'!$I$70)/365*12),(-FV('מודל כלכלי'!$C$20,(10+(('הנחות עסקה'!$D$71-'הנחות עסקה'!$D$72)*'הנחות עסקה'!$I$70)/365),,'מודל כלכלי'!$C$53)))))*היוון!$C$26)),ROUND('מודל כלכלי'!$C$59*(1+0.03)^10,-4)))+(ROUND(FV('מודל כלכלי'!$C$17/12,10*12,'מודל כלכלי'!$C$48,'מודל כלכלי'!$C$46),-4))+(ROUND(-'מודל כלכלי'!$C$66*(IF('מודל כלכלי'!$C$26="פליפ",((-PV(חישובים!$D$21/12,(('הנחות עסקה'!$D$72*'הנחות עסקה'!$I$70)/365*12),(-FV('מודל כלכלי'!$C$20,(10+(('הנחות עסקה'!$D$71-'הנחות עסקה'!$D$72)*'הנחות עסקה'!$I$70)/365),,'מודל כלכלי'!$C$53))))+((0.07*(ROUND('מודל כלכלי'!$C$59*(1+0.03)^10,-4)))+(0.13*(ROUND('מודל כלכלי'!$C$59*(1+0.03)^10,-4)))+(-PV(חישובים!$D$21,((('הנחות עסקה'!$D$72*'הנחות עסקה'!$I$70)-30)/365),,((0.7*(ROUND('מודל כלכלי'!$C$59*(1+0.03)^10,-4)))+(((('הנחות עסקה'!$D$72*'הנחות עסקה'!$I$70)-30)/365)*חישובים!$D$23*(0.7*(ROUND('מודל כלכלי'!$C$59*(1+0.03)^10,-4)))*0.5))))+(-PV(חישובים!$D$21,(('הנחות עסקה'!$D$72*'הנחות עסקה'!$I$70)/365),,((0.1*(ROUND('מודל כלכלי'!$C$59*(1+0.03)^10,-4)))+((('הנחות עסקה'!$D$72*'הנחות עסקה'!$I$70)/365)*חישובים!$D$23*(0.1*(ROUND('מודל כלכלי'!$C$59*(1+0.03)^10,-4)))*0.5)))))+(-(((0.07*(ROUND('מודל כלכלי'!$C$59*(1+0.03)^10,-4)))+(0.13*(ROUND('מודל כלכלי'!$C$59*(1+0.03)^10,-4)))+(-PV(חישובים!$D$21,((('הנחות עסקה'!$D$72*'הנחות עסקה'!$I$70)-30)/365),,((0.7*(ROUND('מודל כלכלי'!$C$59*(1+0.03)^10,-4)))+(((('הנחות עסקה'!$D$72*'הנחות עסקה'!$I$70)-30)/365)*חישובים!$D$23*(0.7*(ROUND('מודל כלכלי'!$C$59*(1+0.03)^10,-4)))*0.5))))+(-PV(חישובים!$D$21,(('הנחות עסקה'!$D$72*'הנחות עסקה'!$I$70)/365),,((0.1*(ROUND('מודל כלכלי'!$C$59*(1+0.03)^10,-4)))+((('הנחות עסקה'!$D$72*'הנחות עסקה'!$I$70)/365)*חישובים!$D$23*(0.1*(ROUND('מודל כלכלי'!$C$59*(1+0.03)^10,-4)))*0.5)))))+(-PV(חישובים!$D$21/12,(('הנחות עסקה'!$D$72*'הנחות עסקה'!$I$70)/365*12),(-FV('מודל כלכלי'!$C$20,(10+(('הנחות עסקה'!$D$71-'הנחות עסקה'!$D$72)*'הנחות עסקה'!$I$70)/365),,'מודל כלכלי'!$C$53)))))*היוון!$C$26)),ROUND('מודל כלכלי'!$C$59*(1+0.03)^10,-4)))*'מודל כלכלי'!$C$14-'מודל כלכלי'!$C$68*(IF('מודל כלכלי'!$C$26="פליפ",((-PV(חישובים!$D$21/12,(('הנחות עסקה'!$D$72*'הנחות עסקה'!$I$70)/365*12),(-FV('מודל כלכלי'!$C$20,(10+(('הנחות עסקה'!$D$71-'הנחות עסקה'!$D$72)*'הנחות עסקה'!$I$70)/365),,'מודל כלכלי'!$C$53))))+((0.07*(ROUND('מודל כלכלי'!$C$59*(1+0.03)^10,-4)))+(0.13*(ROUND('מודל כלכלי'!$C$59*(1+0.03)^10,-4)))+(-PV(חישובים!$D$21,((('הנחות עסקה'!$D$72*'הנחות עסקה'!$I$70)-30)/365),,((0.7*(ROUND('מודל כלכלי'!$C$59*(1+0.03)^10,-4)))+(((('הנחות עסקה'!$D$72*'הנחות עסקה'!$I$70)-30)/365)*חישובים!$D$23*(0.7*(ROUND('מודל כלכלי'!$C$59*(1+0.03)^10,-4)))*0.5))))+(-PV(חישובים!$D$21,(('הנחות עסקה'!$D$72*'הנחות עסקה'!$I$70)/365),,((0.1*(ROUND('מודל כלכלי'!$C$59*(1+0.03)^10,-4)))+((('הנחות עסקה'!$D$72*'הנחות עסקה'!$I$70)/365)*חישובים!$D$23*(0.1*(ROUND('מודל כלכלי'!$C$59*(1+0.03)^10,-4)))*0.5)))))+(-(((0.07*(ROUND('מודל כלכלי'!$C$59*(1+0.03)^10,-4)))+(0.13*(ROUND('מודל כלכלי'!$C$59*(1+0.03)^10,-4)))+(-PV(חישובים!$D$21,((('הנחות עסקה'!$D$72*'הנחות עסקה'!$I$70)-30)/365),,((0.7*(ROUND('מודל כלכלי'!$C$59*(1+0.03)^10,-4)))+(((('הנחות עסקה'!$D$72*'הנחות עסקה'!$I$70)-30)/365)*חישובים!$D$23*(0.7*(ROUND('מודל כלכלי'!$C$59*(1+0.03)^10,-4)))*0.5))))+(-PV(חישובים!$D$21,(('הנחות עסקה'!$D$72*'הנחות עסקה'!$I$70)/365),,((0.1*(ROUND('מודל כלכלי'!$C$59*(1+0.03)^10,-4)))+((('הנחות עסקה'!$D$72*'הנחות עסקה'!$I$70)/365)*חישובים!$D$23*(0.1*(ROUND('מודל כלכלי'!$C$59*(1+0.03)^10,-4)))*0.5)))))+(-PV(חישובים!$D$21/12,(('הנחות עסקה'!$D$72*'הנחות עסקה'!$I$70)/365*12),(-FV('מודל כלכלי'!$C$20,(10+(('הנחות עסקה'!$D$71-'הנחות עסקה'!$D$72)*'הנחות עסקה'!$I$70)/365),,'מודל כלכלי'!$C$53)))))*היוון!$C$26)),ROUND('מודל כלכלי'!$C$59*(1+0.03)^10,-4)))*'מודל כלכלי'!$C$14+'מודל כלכלי'!$C$70,-3))+(ROUND(-FV(חישובים!$D$22,10*12,'מודל כלכלי'!$C$55),-3))+(-'מודל כלכלי'!$C$45)+(-MAX(0,(IF('מודל כלכלי'!$C$26="פליפ",((-PV(חישובים!$D$21/12,(('הנחות עסקה'!$D$72*'הנחות עסקה'!$I$70)/365*12),(-FV('מודל כלכלי'!$C$20,(10+(('הנחות עסקה'!$D$71-'הנחות עסקה'!$D$72)*'הנחות עסקה'!$I$70)/365),,'מודל כלכלי'!$C$53))))+((0.07*(ROUND('מודל כלכלי'!$C$59*(1+0.03)^10,-4)))+(0.13*(ROUND('מודל כלכלי'!$C$59*(1+0.03)^10,-4)))+(-PV(חישובים!$D$21,((('הנחות עסקה'!$D$72*'הנחות עסקה'!$I$70)-30)/365),,((0.7*(ROUND('מודל כלכלי'!$C$59*(1+0.03)^10,-4)))+(((('הנחות עסקה'!$D$72*'הנחות עסקה'!$I$70)-30)/365)*חישובים!$D$23*(0.7*(ROUND('מודל כלכלי'!$C$59*(1+0.03)^10,-4)))*0.5))))+(-PV(חישובים!$D$21,(('הנחות עסקה'!$D$72*'הנחות עסקה'!$I$70)/365),,((0.1*(ROUND('מודל כלכלי'!$C$59*(1+0.03)^10,-4)))+((('הנחות עסקה'!$D$72*'הנחות עסקה'!$I$70)/365)*חישובים!$D$23*(0.1*(ROUND('מודל כלכלי'!$C$59*(1+0.03)^10,-4)))*0.5)))))+(-(((0.07*(ROUND('מודל כלכלי'!$C$59*(1+0.03)^10,-4)))+(0.13*(ROUND('מודל כלכלי'!$C$59*(1+0.03)^10,-4)))+(-PV(חישובים!$D$21,((('הנחות עסקה'!$D$72*'הנחות עסקה'!$I$70)-30)/365),,((0.7*(ROUND('מודל כלכלי'!$C$59*(1+0.03)^10,-4)))+(((('הנחות עסקה'!$D$72*'הנחות עסקה'!$I$70)-30)/365)*חישובים!$D$23*(0.7*(ROUND('מודל כלכלי'!$C$59*(1+0.03)^10,-4)))*0.5))))+(-PV(חישובים!$D$21,(('הנחות עסקה'!$D$72*'הנחות עסקה'!$I$70)/365),,((0.1*(ROUND('מודל כלכלי'!$C$59*(1+0.03)^10,-4)))+((('הנחות עסקה'!$D$72*'הנחות עסקה'!$I$70)/365)*חישובים!$D$23*(0.1*(ROUND('מודל כלכלי'!$C$59*(1+0.03)^10,-4)))*0.5)))))+(-PV(חישובים!$D$21/12,(('הנחות עסקה'!$D$72*'הנחות עסקה'!$I$70)/365*12),(-FV('מודל כלכלי'!$C$20,(10+(('הנחות עסקה'!$D$71-'הנחות עסקה'!$D$72)*'הנחות עסקה'!$I$70)/365),,'מודל כלכלי'!$C$53)))))*היוון!$C$26)),ROUND('מודל כלכלי'!$C$59*(1+0.03)^10,-4)))-(חישובים!$D$28*(1+חישובים!$D$29)^10))*0.25),-4))+'מודל כלכלי'!$C$45)/'מודל כלכלי'!$C$45)^(1/10)-1</f>
        <v>0.14121108970646001</v>
      </c>
      <c r="H11" s="59">
        <f>(((ROUND((IF('מודל כלכלי'!$C$26="פליפ",((-PV(חישובים!$D$21/12,(('הנחות עסקה'!$D$72*'הנחות עסקה'!$I$70)/365*12),(-FV('מודל כלכלי'!$C$20,(11+(('הנחות עסקה'!$D$71-'הנחות עסקה'!$D$72)*'הנחות עסקה'!$I$70)/365),,'מודל כלכלי'!$C$53))))+((0.07*(ROUND('מודל כלכלי'!$C$59*(1+0.03)^11,-4)))+(0.13*(ROUND('מודל כלכלי'!$C$59*(1+0.03)^11,-4)))+(-PV(חישובים!$D$21,((('הנחות עסקה'!$D$72*'הנחות עסקה'!$I$70)-30)/365),,((0.7*(ROUND('מודל כלכלי'!$C$59*(1+0.03)^11,-4)))+(((('הנחות עסקה'!$D$72*'הנחות עסקה'!$I$70)-30)/365)*חישובים!$D$23*(0.7*(ROUND('מודל כלכלי'!$C$59*(1+0.03)^11,-4)))*0.5))))+(-PV(חישובים!$D$21,(('הנחות עסקה'!$D$72*'הנחות עסקה'!$I$70)/365),,((0.1*(ROUND('מודל כלכלי'!$C$59*(1+0.03)^11,-4)))+((('הנחות עסקה'!$D$72*'הנחות עסקה'!$I$70)/365)*חישובים!$D$23*(0.1*(ROUND('מודל כלכלי'!$C$59*(1+0.03)^11,-4)))*0.5)))))+(-(((0.07*(ROUND('מודל כלכלי'!$C$59*(1+0.03)^11,-4)))+(0.13*(ROUND('מודל כלכלי'!$C$59*(1+0.03)^11,-4)))+(-PV(חישובים!$D$21,((('הנחות עסקה'!$D$72*'הנחות עסקה'!$I$70)-30)/365),,((0.7*(ROUND('מודל כלכלי'!$C$59*(1+0.03)^11,-4)))+(((('הנחות עסקה'!$D$72*'הנחות עסקה'!$I$70)-30)/365)*חישובים!$D$23*(0.7*(ROUND('מודל כלכלי'!$C$59*(1+0.03)^11,-4)))*0.5))))+(-PV(חישובים!$D$21,(('הנחות עסקה'!$D$72*'הנחות עסקה'!$I$70)/365),,((0.1*(ROUND('מודל כלכלי'!$C$59*(1+0.03)^11,-4)))+((('הנחות עסקה'!$D$72*'הנחות עסקה'!$I$70)/365)*חישובים!$D$23*(0.1*(ROUND('מודל כלכלי'!$C$59*(1+0.03)^11,-4)))*0.5)))))+(-PV(חישובים!$D$21/12,(('הנחות עסקה'!$D$72*'הנחות עסקה'!$I$70)/365*12),(-FV('מודל כלכלי'!$C$20,(11+(('הנחות עסקה'!$D$71-'הנחות עסקה'!$D$72)*'הנחות עסקה'!$I$70)/365),,'מודל כלכלי'!$C$53)))))*היוון!$C$26)),ROUND('מודל כלכלי'!$C$59*(1+0.03)^11,-4)))+(ROUND(FV('מודל כלכלי'!$C$17/12,11*12,'מודל כלכלי'!$C$48,'מודל כלכלי'!$C$46),-4))+(ROUND(-'מודל כלכלי'!$C$66*(IF('מודל כלכלי'!$C$26="פליפ",((-PV(חישובים!$D$21/12,(('הנחות עסקה'!$D$72*'הנחות עסקה'!$I$70)/365*12),(-FV('מודל כלכלי'!$C$20,(11+(('הנחות עסקה'!$D$71-'הנחות עסקה'!$D$72)*'הנחות עסקה'!$I$70)/365),,'מודל כלכלי'!$C$53))))+((0.07*(ROUND('מודל כלכלי'!$C$59*(1+0.03)^11,-4)))+(0.13*(ROUND('מודל כלכלי'!$C$59*(1+0.03)^11,-4)))+(-PV(חישובים!$D$21,((('הנחות עסקה'!$D$72*'הנחות עסקה'!$I$70)-30)/365),,((0.7*(ROUND('מודל כלכלי'!$C$59*(1+0.03)^11,-4)))+(((('הנחות עסקה'!$D$72*'הנחות עסקה'!$I$70)-30)/365)*חישובים!$D$23*(0.7*(ROUND('מודל כלכלי'!$C$59*(1+0.03)^11,-4)))*0.5))))+(-PV(חישובים!$D$21,(('הנחות עסקה'!$D$72*'הנחות עסקה'!$I$70)/365),,((0.1*(ROUND('מודל כלכלי'!$C$59*(1+0.03)^11,-4)))+((('הנחות עסקה'!$D$72*'הנחות עסקה'!$I$70)/365)*חישובים!$D$23*(0.1*(ROUND('מודל כלכלי'!$C$59*(1+0.03)^11,-4)))*0.5)))))+(-(((0.07*(ROUND('מודל כלכלי'!$C$59*(1+0.03)^11,-4)))+(0.13*(ROUND('מודל כלכלי'!$C$59*(1+0.03)^11,-4)))+(-PV(חישובים!$D$21,((('הנחות עסקה'!$D$72*'הנחות עסקה'!$I$70)-30)/365),,((0.7*(ROUND('מודל כלכלי'!$C$59*(1+0.03)^11,-4)))+(((('הנחות עסקה'!$D$72*'הנחות עסקה'!$I$70)-30)/365)*חישובים!$D$23*(0.7*(ROUND('מודל כלכלי'!$C$59*(1+0.03)^11,-4)))*0.5))))+(-PV(חישובים!$D$21,(('הנחות עסקה'!$D$72*'הנחות עסקה'!$I$70)/365),,((0.1*(ROUND('מודל כלכלי'!$C$59*(1+0.03)^11,-4)))+((('הנחות עסקה'!$D$72*'הנחות עסקה'!$I$70)/365)*חישובים!$D$23*(0.1*(ROUND('מודל כלכלי'!$C$59*(1+0.03)^11,-4)))*0.5)))))+(-PV(חישובים!$D$21/12,(('הנחות עסקה'!$D$72*'הנחות עסקה'!$I$70)/365*12),(-FV('מודל כלכלי'!$C$20,(11+(('הנחות עסקה'!$D$71-'הנחות עסקה'!$D$72)*'הנחות עסקה'!$I$70)/365),,'מודל כלכלי'!$C$53)))))*היוון!$C$26)),ROUND('מודל כלכלי'!$C$59*(1+0.03)^11,-4)))*'מודל כלכלי'!$C$14-'מודל כלכלי'!$C$68*(IF('מודל כלכלי'!$C$26="פליפ",((-PV(חישובים!$D$21/12,(('הנחות עסקה'!$D$72*'הנחות עסקה'!$I$70)/365*12),(-FV('מודל כלכלי'!$C$20,(11+(('הנחות עסקה'!$D$71-'הנחות עסקה'!$D$72)*'הנחות עסקה'!$I$70)/365),,'מודל כלכלי'!$C$53))))+((0.07*(ROUND('מודל כלכלי'!$C$59*(1+0.03)^11,-4)))+(0.13*(ROUND('מודל כלכלי'!$C$59*(1+0.03)^11,-4)))+(-PV(חישובים!$D$21,((('הנחות עסקה'!$D$72*'הנחות עסקה'!$I$70)-30)/365),,((0.7*(ROUND('מודל כלכלי'!$C$59*(1+0.03)^11,-4)))+(((('הנחות עסקה'!$D$72*'הנחות עסקה'!$I$70)-30)/365)*חישובים!$D$23*(0.7*(ROUND('מודל כלכלי'!$C$59*(1+0.03)^11,-4)))*0.5))))+(-PV(חישובים!$D$21,(('הנחות עסקה'!$D$72*'הנחות עסקה'!$I$70)/365),,((0.1*(ROUND('מודל כלכלי'!$C$59*(1+0.03)^11,-4)))+((('הנחות עסקה'!$D$72*'הנחות עסקה'!$I$70)/365)*חישובים!$D$23*(0.1*(ROUND('מודל כלכלי'!$C$59*(1+0.03)^11,-4)))*0.5)))))+(-(((0.07*(ROUND('מודל כלכלי'!$C$59*(1+0.03)^11,-4)))+(0.13*(ROUND('מודל כלכלי'!$C$59*(1+0.03)^11,-4)))+(-PV(חישובים!$D$21,((('הנחות עסקה'!$D$72*'הנחות עסקה'!$I$70)-30)/365),,((0.7*(ROUND('מודל כלכלי'!$C$59*(1+0.03)^11,-4)))+(((('הנחות עסקה'!$D$72*'הנחות עסקה'!$I$70)-30)/365)*חישובים!$D$23*(0.7*(ROUND('מודל כלכלי'!$C$59*(1+0.03)^11,-4)))*0.5))))+(-PV(חישובים!$D$21,(('הנחות עסקה'!$D$72*'הנחות עסקה'!$I$70)/365),,((0.1*(ROUND('מודל כלכלי'!$C$59*(1+0.03)^11,-4)))+((('הנחות עסקה'!$D$72*'הנחות עסקה'!$I$70)/365)*חישובים!$D$23*(0.1*(ROUND('מודל כלכלי'!$C$59*(1+0.03)^11,-4)))*0.5)))))+(-PV(חישובים!$D$21/12,(('הנחות עסקה'!$D$72*'הנחות עסקה'!$I$70)/365*12),(-FV('מודל כלכלי'!$C$20,(11+(('הנחות עסקה'!$D$71-'הנחות עסקה'!$D$72)*'הנחות עסקה'!$I$70)/365),,'מודל כלכלי'!$C$53)))))*היוון!$C$26)),ROUND('מודל כלכלי'!$C$59*(1+0.03)^11,-4)))*'מודל כלכלי'!$C$14+'מודל כלכלי'!$C$70,-3))+(ROUND(-FV(חישובים!$D$22,11*12,'מודל כלכלי'!$C$55),-3))+(-'מודל כלכלי'!$C$45)+(-MAX(0,(IF('מודל כלכלי'!$C$26="פליפ",((-PV(חישובים!$D$21/12,(('הנחות עסקה'!$D$72*'הנחות עסקה'!$I$70)/365*12),(-FV('מודל כלכלי'!$C$20,(11+(('הנחות עסקה'!$D$71-'הנחות עסקה'!$D$72)*'הנחות עסקה'!$I$70)/365),,'מודל כלכלי'!$C$53))))+((0.07*(ROUND('מודל כלכלי'!$C$59*(1+0.03)^11,-4)))+(0.13*(ROUND('מודל כלכלי'!$C$59*(1+0.03)^11,-4)))+(-PV(חישובים!$D$21,((('הנחות עסקה'!$D$72*'הנחות עסקה'!$I$70)-30)/365),,((0.7*(ROUND('מודל כלכלי'!$C$59*(1+0.03)^11,-4)))+(((('הנחות עסקה'!$D$72*'הנחות עסקה'!$I$70)-30)/365)*חישובים!$D$23*(0.7*(ROUND('מודל כלכלי'!$C$59*(1+0.03)^11,-4)))*0.5))))+(-PV(חישובים!$D$21,(('הנחות עסקה'!$D$72*'הנחות עסקה'!$I$70)/365),,((0.1*(ROUND('מודל כלכלי'!$C$59*(1+0.03)^11,-4)))+((('הנחות עסקה'!$D$72*'הנחות עסקה'!$I$70)/365)*חישובים!$D$23*(0.1*(ROUND('מודל כלכלי'!$C$59*(1+0.03)^11,-4)))*0.5)))))+(-(((0.07*(ROUND('מודל כלכלי'!$C$59*(1+0.03)^11,-4)))+(0.13*(ROUND('מודל כלכלי'!$C$59*(1+0.03)^11,-4)))+(-PV(חישובים!$D$21,((('הנחות עסקה'!$D$72*'הנחות עסקה'!$I$70)-30)/365),,((0.7*(ROUND('מודל כלכלי'!$C$59*(1+0.03)^11,-4)))+(((('הנחות עסקה'!$D$72*'הנחות עסקה'!$I$70)-30)/365)*חישובים!$D$23*(0.7*(ROUND('מודל כלכלי'!$C$59*(1+0.03)^11,-4)))*0.5))))+(-PV(חישובים!$D$21,(('הנחות עסקה'!$D$72*'הנחות עסקה'!$I$70)/365),,((0.1*(ROUND('מודל כלכלי'!$C$59*(1+0.03)^11,-4)))+((('הנחות עסקה'!$D$72*'הנחות עסקה'!$I$70)/365)*חישובים!$D$23*(0.1*(ROUND('מודל כלכלי'!$C$59*(1+0.03)^11,-4)))*0.5)))))+(-PV(חישובים!$D$21/12,(('הנחות עסקה'!$D$72*'הנחות עסקה'!$I$70)/365*12),(-FV('מודל כלכלי'!$C$20,(11+(('הנחות עסקה'!$D$71-'הנחות עסקה'!$D$72)*'הנחות עסקה'!$I$70)/365),,'מודל כלכלי'!$C$53)))))*היוון!$C$26)),ROUND('מודל כלכלי'!$C$59*(1+0.03)^11,-4)))-(חישובים!$D$28*(1+חישובים!$D$29)^11))*0.25),-4))+'מודל כלכלי'!$C$45)/'מודל כלכלי'!$C$45)^(1/11)-1</f>
        <v>0.13166653078813018</v>
      </c>
      <c r="I11" s="59">
        <f>(((ROUND((IF('מודל כלכלי'!$C$26="פליפ",((-PV(חישובים!$D$21/12,(('הנחות עסקה'!$D$72*'הנחות עסקה'!$I$70)/365*12),(-FV('מודל כלכלי'!$C$20,(12+(('הנחות עסקה'!$D$71-'הנחות עסקה'!$D$72)*'הנחות עסקה'!$I$70)/365),,'מודל כלכלי'!$C$53))))+((0.07*(ROUND('מודל כלכלי'!$C$59*(1+0.03)^12,-4)))+(0.13*(ROUND('מודל כלכלי'!$C$59*(1+0.03)^12,-4)))+(-PV(חישובים!$D$21,((('הנחות עסקה'!$D$72*'הנחות עסקה'!$I$70)-30)/365),,((0.7*(ROUND('מודל כלכלי'!$C$59*(1+0.03)^12,-4)))+(((('הנחות עסקה'!$D$72*'הנחות עסקה'!$I$70)-30)/365)*חישובים!$D$23*(0.7*(ROUND('מודל כלכלי'!$C$59*(1+0.03)^12,-4)))*0.5))))+(-PV(חישובים!$D$21,(('הנחות עסקה'!$D$72*'הנחות עסקה'!$I$70)/365),,((0.1*(ROUND('מודל כלכלי'!$C$59*(1+0.03)^12,-4)))+((('הנחות עסקה'!$D$72*'הנחות עסקה'!$I$70)/365)*חישובים!$D$23*(0.1*(ROUND('מודל כלכלי'!$C$59*(1+0.03)^12,-4)))*0.5)))))+(-(((0.07*(ROUND('מודל כלכלי'!$C$59*(1+0.03)^12,-4)))+(0.13*(ROUND('מודל כלכלי'!$C$59*(1+0.03)^12,-4)))+(-PV(חישובים!$D$21,((('הנחות עסקה'!$D$72*'הנחות עסקה'!$I$70)-30)/365),,((0.7*(ROUND('מודל כלכלי'!$C$59*(1+0.03)^12,-4)))+(((('הנחות עסקה'!$D$72*'הנחות עסקה'!$I$70)-30)/365)*חישובים!$D$23*(0.7*(ROUND('מודל כלכלי'!$C$59*(1+0.03)^12,-4)))*0.5))))+(-PV(חישובים!$D$21,(('הנחות עסקה'!$D$72*'הנחות עסקה'!$I$70)/365),,((0.1*(ROUND('מודל כלכלי'!$C$59*(1+0.03)^12,-4)))+((('הנחות עסקה'!$D$72*'הנחות עסקה'!$I$70)/365)*חישובים!$D$23*(0.1*(ROUND('מודל כלכלי'!$C$59*(1+0.03)^12,-4)))*0.5)))))+(-PV(חישובים!$D$21/12,(('הנחות עסקה'!$D$72*'הנחות עסקה'!$I$70)/365*12),(-FV('מודל כלכלי'!$C$20,(12+(('הנחות עסקה'!$D$71-'הנחות עסקה'!$D$72)*'הנחות עסקה'!$I$70)/365),,'מודל כלכלי'!$C$53)))))*היוון!$C$26)),ROUND('מודל כלכלי'!$C$59*(1+0.03)^12,-4)))+(ROUND(FV('מודל כלכלי'!$C$17/12,12*12,'מודל כלכלי'!$C$48,'מודל כלכלי'!$C$46),-4))+(ROUND(-'מודל כלכלי'!$C$66*(IF('מודל כלכלי'!$C$26="פליפ",((-PV(חישובים!$D$21/12,(('הנחות עסקה'!$D$72*'הנחות עסקה'!$I$70)/365*12),(-FV('מודל כלכלי'!$C$20,(12+(('הנחות עסקה'!$D$71-'הנחות עסקה'!$D$72)*'הנחות עסקה'!$I$70)/365),,'מודל כלכלי'!$C$53))))+((0.07*(ROUND('מודל כלכלי'!$C$59*(1+0.03)^12,-4)))+(0.13*(ROUND('מודל כלכלי'!$C$59*(1+0.03)^12,-4)))+(-PV(חישובים!$D$21,((('הנחות עסקה'!$D$72*'הנחות עסקה'!$I$70)-30)/365),,((0.7*(ROUND('מודל כלכלי'!$C$59*(1+0.03)^12,-4)))+(((('הנחות עסקה'!$D$72*'הנחות עסקה'!$I$70)-30)/365)*חישובים!$D$23*(0.7*(ROUND('מודל כלכלי'!$C$59*(1+0.03)^12,-4)))*0.5))))+(-PV(חישובים!$D$21,(('הנחות עסקה'!$D$72*'הנחות עסקה'!$I$70)/365),,((0.1*(ROUND('מודל כלכלי'!$C$59*(1+0.03)^12,-4)))+((('הנחות עסקה'!$D$72*'הנחות עסקה'!$I$70)/365)*חישובים!$D$23*(0.1*(ROUND('מודל כלכלי'!$C$59*(1+0.03)^12,-4)))*0.5)))))+(-(((0.07*(ROUND('מודל כלכלי'!$C$59*(1+0.03)^12,-4)))+(0.13*(ROUND('מודל כלכלי'!$C$59*(1+0.03)^12,-4)))+(-PV(חישובים!$D$21,((('הנחות עסקה'!$D$72*'הנחות עסקה'!$I$70)-30)/365),,((0.7*(ROUND('מודל כלכלי'!$C$59*(1+0.03)^12,-4)))+(((('הנחות עסקה'!$D$72*'הנחות עסקה'!$I$70)-30)/365)*חישובים!$D$23*(0.7*(ROUND('מודל כלכלי'!$C$59*(1+0.03)^12,-4)))*0.5))))+(-PV(חישובים!$D$21,(('הנחות עסקה'!$D$72*'הנחות עסקה'!$I$70)/365),,((0.1*(ROUND('מודל כלכלי'!$C$59*(1+0.03)^12,-4)))+((('הנחות עסקה'!$D$72*'הנחות עסקה'!$I$70)/365)*חישובים!$D$23*(0.1*(ROUND('מודל כלכלי'!$C$59*(1+0.03)^12,-4)))*0.5)))))+(-PV(חישובים!$D$21/12,(('הנחות עסקה'!$D$72*'הנחות עסקה'!$I$70)/365*12),(-FV('מודל כלכלי'!$C$20,(12+(('הנחות עסקה'!$D$71-'הנחות עסקה'!$D$72)*'הנחות עסקה'!$I$70)/365),,'מודל כלכלי'!$C$53)))))*היוון!$C$26)),ROUND('מודל כלכלי'!$C$59*(1+0.03)^12,-4)))*'מודל כלכלי'!$C$14-'מודל כלכלי'!$C$68*(IF('מודל כלכלי'!$C$26="פליפ",((-PV(חישובים!$D$21/12,(('הנחות עסקה'!$D$72*'הנחות עסקה'!$I$70)/365*12),(-FV('מודל כלכלי'!$C$20,(12+(('הנחות עסקה'!$D$71-'הנחות עסקה'!$D$72)*'הנחות עסקה'!$I$70)/365),,'מודל כלכלי'!$C$53))))+((0.07*(ROUND('מודל כלכלי'!$C$59*(1+0.03)^12,-4)))+(0.13*(ROUND('מודל כלכלי'!$C$59*(1+0.03)^12,-4)))+(-PV(חישובים!$D$21,((('הנחות עסקה'!$D$72*'הנחות עסקה'!$I$70)-30)/365),,((0.7*(ROUND('מודל כלכלי'!$C$59*(1+0.03)^12,-4)))+(((('הנחות עסקה'!$D$72*'הנחות עסקה'!$I$70)-30)/365)*חישובים!$D$23*(0.7*(ROUND('מודל כלכלי'!$C$59*(1+0.03)^12,-4)))*0.5))))+(-PV(חישובים!$D$21,(('הנחות עסקה'!$D$72*'הנחות עסקה'!$I$70)/365),,((0.1*(ROUND('מודל כלכלי'!$C$59*(1+0.03)^12,-4)))+((('הנחות עסקה'!$D$72*'הנחות עסקה'!$I$70)/365)*חישובים!$D$23*(0.1*(ROUND('מודל כלכלי'!$C$59*(1+0.03)^12,-4)))*0.5)))))+(-(((0.07*(ROUND('מודל כלכלי'!$C$59*(1+0.03)^12,-4)))+(0.13*(ROUND('מודל כלכלי'!$C$59*(1+0.03)^12,-4)))+(-PV(חישובים!$D$21,((('הנחות עסקה'!$D$72*'הנחות עסקה'!$I$70)-30)/365),,((0.7*(ROUND('מודל כלכלי'!$C$59*(1+0.03)^12,-4)))+(((('הנחות עסקה'!$D$72*'הנחות עסקה'!$I$70)-30)/365)*חישובים!$D$23*(0.7*(ROUND('מודל כלכלי'!$C$59*(1+0.03)^12,-4)))*0.5))))+(-PV(חישובים!$D$21,(('הנחות עסקה'!$D$72*'הנחות עסקה'!$I$70)/365),,((0.1*(ROUND('מודל כלכלי'!$C$59*(1+0.03)^12,-4)))+((('הנחות עסקה'!$D$72*'הנחות עסקה'!$I$70)/365)*חישובים!$D$23*(0.1*(ROUND('מודל כלכלי'!$C$59*(1+0.03)^12,-4)))*0.5)))))+(-PV(חישובים!$D$21/12,(('הנחות עסקה'!$D$72*'הנחות עסקה'!$I$70)/365*12),(-FV('מודל כלכלי'!$C$20,(12+(('הנחות עסקה'!$D$71-'הנחות עסקה'!$D$72)*'הנחות עסקה'!$I$70)/365),,'מודל כלכלי'!$C$53)))))*היוון!$C$26)),ROUND('מודל כלכלי'!$C$59*(1+0.03)^12,-4)))*'מודל כלכלי'!$C$14+'מודל כלכלי'!$C$70,-3))+(ROUND(-FV(חישובים!$D$22,12*12,'מודל כלכלי'!$C$55),-3))+(-'מודל כלכלי'!$C$45)+(-MAX(0,(IF('מודל כלכלי'!$C$26="פליפ",((-PV(חישובים!$D$21/12,(('הנחות עסקה'!$D$72*'הנחות עסקה'!$I$70)/365*12),(-FV('מודל כלכלי'!$C$20,(12+(('הנחות עסקה'!$D$71-'הנחות עסקה'!$D$72)*'הנחות עסקה'!$I$70)/365),,'מודל כלכלי'!$C$53))))+((0.07*(ROUND('מודל כלכלי'!$C$59*(1+0.03)^12,-4)))+(0.13*(ROUND('מודל כלכלי'!$C$59*(1+0.03)^12,-4)))+(-PV(חישובים!$D$21,((('הנחות עסקה'!$D$72*'הנחות עסקה'!$I$70)-30)/365),,((0.7*(ROUND('מודל כלכלי'!$C$59*(1+0.03)^12,-4)))+(((('הנחות עסקה'!$D$72*'הנחות עסקה'!$I$70)-30)/365)*חישובים!$D$23*(0.7*(ROUND('מודל כלכלי'!$C$59*(1+0.03)^12,-4)))*0.5))))+(-PV(חישובים!$D$21,(('הנחות עסקה'!$D$72*'הנחות עסקה'!$I$70)/365),,((0.1*(ROUND('מודל כלכלי'!$C$59*(1+0.03)^12,-4)))+((('הנחות עסקה'!$D$72*'הנחות עסקה'!$I$70)/365)*חישובים!$D$23*(0.1*(ROUND('מודל כלכלי'!$C$59*(1+0.03)^12,-4)))*0.5)))))+(-(((0.07*(ROUND('מודל כלכלי'!$C$59*(1+0.03)^12,-4)))+(0.13*(ROUND('מודל כלכלי'!$C$59*(1+0.03)^12,-4)))+(-PV(חישובים!$D$21,((('הנחות עסקה'!$D$72*'הנחות עסקה'!$I$70)-30)/365),,((0.7*(ROUND('מודל כלכלי'!$C$59*(1+0.03)^12,-4)))+(((('הנחות עסקה'!$D$72*'הנחות עסקה'!$I$70)-30)/365)*חישובים!$D$23*(0.7*(ROUND('מודל כלכלי'!$C$59*(1+0.03)^12,-4)))*0.5))))+(-PV(חישובים!$D$21,(('הנחות עסקה'!$D$72*'הנחות עסקה'!$I$70)/365),,((0.1*(ROUND('מודל כלכלי'!$C$59*(1+0.03)^12,-4)))+((('הנחות עסקה'!$D$72*'הנחות עסקה'!$I$70)/365)*חישובים!$D$23*(0.1*(ROUND('מודל כלכלי'!$C$59*(1+0.03)^12,-4)))*0.5)))))+(-PV(חישובים!$D$21/12,(('הנחות עסקה'!$D$72*'הנחות עסקה'!$I$70)/365*12),(-FV('מודל כלכלי'!$C$20,(12+(('הנחות עסקה'!$D$71-'הנחות עסקה'!$D$72)*'הנחות עסקה'!$I$70)/365),,'מודל כלכלי'!$C$53)))))*היוון!$C$26)),ROUND('מודל כלכלי'!$C$59*(1+0.03)^12,-4)))-(חישובים!$D$28*(1+חישובים!$D$29)^12))*0.25),-4))+'מודל כלכלי'!$C$45)/'מודל כלכלי'!$C$45)^(1/12)-1</f>
        <v>0.12363173854858034</v>
      </c>
      <c r="J11" s="59">
        <f>(((ROUND((IF('מודל כלכלי'!$C$26="פליפ",((-PV(חישובים!$D$21/12,(('הנחות עסקה'!$D$72*'הנחות עסקה'!$I$70)/365*12),(-FV('מודל כלכלי'!$C$20,(13+(('הנחות עסקה'!$D$71-'הנחות עסקה'!$D$72)*'הנחות עסקה'!$I$70)/365),,'מודל כלכלי'!$C$53))))+((0.07*(ROUND('מודל כלכלי'!$C$59*(1+0.03)^13,-4)))+(0.13*(ROUND('מודל כלכלי'!$C$59*(1+0.03)^13,-4)))+(-PV(חישובים!$D$21,((('הנחות עסקה'!$D$72*'הנחות עסקה'!$I$70)-30)/365),,((0.7*(ROUND('מודל כלכלי'!$C$59*(1+0.03)^13,-4)))+(((('הנחות עסקה'!$D$72*'הנחות עסקה'!$I$70)-30)/365)*חישובים!$D$23*(0.7*(ROUND('מודל כלכלי'!$C$59*(1+0.03)^13,-4)))*0.5))))+(-PV(חישובים!$D$21,(('הנחות עסקה'!$D$72*'הנחות עסקה'!$I$70)/365),,((0.1*(ROUND('מודל כלכלי'!$C$59*(1+0.03)^13,-4)))+((('הנחות עסקה'!$D$72*'הנחות עסקה'!$I$70)/365)*חישובים!$D$23*(0.1*(ROUND('מודל כלכלי'!$C$59*(1+0.03)^13,-4)))*0.5)))))+(-(((0.07*(ROUND('מודל כלכלי'!$C$59*(1+0.03)^13,-4)))+(0.13*(ROUND('מודל כלכלי'!$C$59*(1+0.03)^13,-4)))+(-PV(חישובים!$D$21,((('הנחות עסקה'!$D$72*'הנחות עסקה'!$I$70)-30)/365),,((0.7*(ROUND('מודל כלכלי'!$C$59*(1+0.03)^13,-4)))+(((('הנחות עסקה'!$D$72*'הנחות עסקה'!$I$70)-30)/365)*חישובים!$D$23*(0.7*(ROUND('מודל כלכלי'!$C$59*(1+0.03)^13,-4)))*0.5))))+(-PV(חישובים!$D$21,(('הנחות עסקה'!$D$72*'הנחות עסקה'!$I$70)/365),,((0.1*(ROUND('מודל כלכלי'!$C$59*(1+0.03)^13,-4)))+((('הנחות עסקה'!$D$72*'הנחות עסקה'!$I$70)/365)*חישובים!$D$23*(0.1*(ROUND('מודל כלכלי'!$C$59*(1+0.03)^13,-4)))*0.5)))))+(-PV(חישובים!$D$21/12,(('הנחות עסקה'!$D$72*'הנחות עסקה'!$I$70)/365*12),(-FV('מודל כלכלי'!$C$20,(13+(('הנחות עסקה'!$D$71-'הנחות עסקה'!$D$72)*'הנחות עסקה'!$I$70)/365),,'מודל כלכלי'!$C$53)))))*היוון!$C$26)),ROUND('מודל כלכלי'!$C$59*(1+0.03)^13,-4)))+(ROUND(FV('מודל כלכלי'!$C$17/12,13*12,'מודל כלכלי'!$C$48,'מודל כלכלי'!$C$46),-4))+(ROUND(-'מודל כלכלי'!$C$66*(IF('מודל כלכלי'!$C$26="פליפ",((-PV(חישובים!$D$21/12,(('הנחות עסקה'!$D$72*'הנחות עסקה'!$I$70)/365*12),(-FV('מודל כלכלי'!$C$20,(13+(('הנחות עסקה'!$D$71-'הנחות עסקה'!$D$72)*'הנחות עסקה'!$I$70)/365),,'מודל כלכלי'!$C$53))))+((0.07*(ROUND('מודל כלכלי'!$C$59*(1+0.03)^13,-4)))+(0.13*(ROUND('מודל כלכלי'!$C$59*(1+0.03)^13,-4)))+(-PV(חישובים!$D$21,((('הנחות עסקה'!$D$72*'הנחות עסקה'!$I$70)-30)/365),,((0.7*(ROUND('מודל כלכלי'!$C$59*(1+0.03)^13,-4)))+(((('הנחות עסקה'!$D$72*'הנחות עסקה'!$I$70)-30)/365)*חישובים!$D$23*(0.7*(ROUND('מודל כלכלי'!$C$59*(1+0.03)^13,-4)))*0.5))))+(-PV(חישובים!$D$21,(('הנחות עסקה'!$D$72*'הנחות עסקה'!$I$70)/365),,((0.1*(ROUND('מודל כלכלי'!$C$59*(1+0.03)^13,-4)))+((('הנחות עסקה'!$D$72*'הנחות עסקה'!$I$70)/365)*חישובים!$D$23*(0.1*(ROUND('מודל כלכלי'!$C$59*(1+0.03)^13,-4)))*0.5)))))+(-(((0.07*(ROUND('מודל כלכלי'!$C$59*(1+0.03)^13,-4)))+(0.13*(ROUND('מודל כלכלי'!$C$59*(1+0.03)^13,-4)))+(-PV(חישובים!$D$21,((('הנחות עסקה'!$D$72*'הנחות עסקה'!$I$70)-30)/365),,((0.7*(ROUND('מודל כלכלי'!$C$59*(1+0.03)^13,-4)))+(((('הנחות עסקה'!$D$72*'הנחות עסקה'!$I$70)-30)/365)*חישובים!$D$23*(0.7*(ROUND('מודל כלכלי'!$C$59*(1+0.03)^13,-4)))*0.5))))+(-PV(חישובים!$D$21,(('הנחות עסקה'!$D$72*'הנחות עסקה'!$I$70)/365),,((0.1*(ROUND('מודל כלכלי'!$C$59*(1+0.03)^13,-4)))+((('הנחות עסקה'!$D$72*'הנחות עסקה'!$I$70)/365)*חישובים!$D$23*(0.1*(ROUND('מודל כלכלי'!$C$59*(1+0.03)^13,-4)))*0.5)))))+(-PV(חישובים!$D$21/12,(('הנחות עסקה'!$D$72*'הנחות עסקה'!$I$70)/365*12),(-FV('מודל כלכלי'!$C$20,(13+(('הנחות עסקה'!$D$71-'הנחות עסקה'!$D$72)*'הנחות עסקה'!$I$70)/365),,'מודל כלכלי'!$C$53)))))*היוון!$C$26)),ROUND('מודל כלכלי'!$C$59*(1+0.03)^13,-4)))*'מודל כלכלי'!$C$14-'מודל כלכלי'!$C$68*(IF('מודל כלכלי'!$C$26="פליפ",((-PV(חישובים!$D$21/12,(('הנחות עסקה'!$D$72*'הנחות עסקה'!$I$70)/365*12),(-FV('מודל כלכלי'!$C$20,(13+(('הנחות עסקה'!$D$71-'הנחות עסקה'!$D$72)*'הנחות עסקה'!$I$70)/365),,'מודל כלכלי'!$C$53))))+((0.07*(ROUND('מודל כלכלי'!$C$59*(1+0.03)^13,-4)))+(0.13*(ROUND('מודל כלכלי'!$C$59*(1+0.03)^13,-4)))+(-PV(חישובים!$D$21,((('הנחות עסקה'!$D$72*'הנחות עסקה'!$I$70)-30)/365),,((0.7*(ROUND('מודל כלכלי'!$C$59*(1+0.03)^13,-4)))+(((('הנחות עסקה'!$D$72*'הנחות עסקה'!$I$70)-30)/365)*חישובים!$D$23*(0.7*(ROUND('מודל כלכלי'!$C$59*(1+0.03)^13,-4)))*0.5))))+(-PV(חישובים!$D$21,(('הנחות עסקה'!$D$72*'הנחות עסקה'!$I$70)/365),,((0.1*(ROUND('מודל כלכלי'!$C$59*(1+0.03)^13,-4)))+((('הנחות עסקה'!$D$72*'הנחות עסקה'!$I$70)/365)*חישובים!$D$23*(0.1*(ROUND('מודל כלכלי'!$C$59*(1+0.03)^13,-4)))*0.5)))))+(-(((0.07*(ROUND('מודל כלכלי'!$C$59*(1+0.03)^13,-4)))+(0.13*(ROUND('מודל כלכלי'!$C$59*(1+0.03)^13,-4)))+(-PV(חישובים!$D$21,((('הנחות עסקה'!$D$72*'הנחות עסקה'!$I$70)-30)/365),,((0.7*(ROUND('מודל כלכלי'!$C$59*(1+0.03)^13,-4)))+(((('הנחות עסקה'!$D$72*'הנחות עסקה'!$I$70)-30)/365)*חישובים!$D$23*(0.7*(ROUND('מודל כלכלי'!$C$59*(1+0.03)^13,-4)))*0.5))))+(-PV(חישובים!$D$21,(('הנחות עסקה'!$D$72*'הנחות עסקה'!$I$70)/365),,((0.1*(ROUND('מודל כלכלי'!$C$59*(1+0.03)^13,-4)))+((('הנחות עסקה'!$D$72*'הנחות עסקה'!$I$70)/365)*חישובים!$D$23*(0.1*(ROUND('מודל כלכלי'!$C$59*(1+0.03)^13,-4)))*0.5)))))+(-PV(חישובים!$D$21/12,(('הנחות עסקה'!$D$72*'הנחות עסקה'!$I$70)/365*12),(-FV('מודל כלכלי'!$C$20,(13+(('הנחות עסקה'!$D$71-'הנחות עסקה'!$D$72)*'הנחות עסקה'!$I$70)/365),,'מודל כלכלי'!$C$53)))))*היוון!$C$26)),ROUND('מודל כלכלי'!$C$59*(1+0.03)^13,-4)))*'מודל כלכלי'!$C$14+'מודל כלכלי'!$C$70,-3))+(ROUND(-FV(חישובים!$D$22,13*12,'מודל כלכלי'!$C$55),-3))+(-'מודל כלכלי'!$C$45)+(-MAX(0,(IF('מודל כלכלי'!$C$26="פליפ",((-PV(חישובים!$D$21/12,(('הנחות עסקה'!$D$72*'הנחות עסקה'!$I$70)/365*12),(-FV('מודל כלכלי'!$C$20,(13+(('הנחות עסקה'!$D$71-'הנחות עסקה'!$D$72)*'הנחות עסקה'!$I$70)/365),,'מודל כלכלי'!$C$53))))+((0.07*(ROUND('מודל כלכלי'!$C$59*(1+0.03)^13,-4)))+(0.13*(ROUND('מודל כלכלי'!$C$59*(1+0.03)^13,-4)))+(-PV(חישובים!$D$21,((('הנחות עסקה'!$D$72*'הנחות עסקה'!$I$70)-30)/365),,((0.7*(ROUND('מודל כלכלי'!$C$59*(1+0.03)^13,-4)))+(((('הנחות עסקה'!$D$72*'הנחות עסקה'!$I$70)-30)/365)*חישובים!$D$23*(0.7*(ROUND('מודל כלכלי'!$C$59*(1+0.03)^13,-4)))*0.5))))+(-PV(חישובים!$D$21,(('הנחות עסקה'!$D$72*'הנחות עסקה'!$I$70)/365),,((0.1*(ROUND('מודל כלכלי'!$C$59*(1+0.03)^13,-4)))+((('הנחות עסקה'!$D$72*'הנחות עסקה'!$I$70)/365)*חישובים!$D$23*(0.1*(ROUND('מודל כלכלי'!$C$59*(1+0.03)^13,-4)))*0.5)))))+(-(((0.07*(ROUND('מודל כלכלי'!$C$59*(1+0.03)^13,-4)))+(0.13*(ROUND('מודל כלכלי'!$C$59*(1+0.03)^13,-4)))+(-PV(חישובים!$D$21,((('הנחות עסקה'!$D$72*'הנחות עסקה'!$I$70)-30)/365),,((0.7*(ROUND('מודל כלכלי'!$C$59*(1+0.03)^13,-4)))+(((('הנחות עסקה'!$D$72*'הנחות עסקה'!$I$70)-30)/365)*חישובים!$D$23*(0.7*(ROUND('מודל כלכלי'!$C$59*(1+0.03)^13,-4)))*0.5))))+(-PV(חישובים!$D$21,(('הנחות עסקה'!$D$72*'הנחות עסקה'!$I$70)/365),,((0.1*(ROUND('מודל כלכלי'!$C$59*(1+0.03)^13,-4)))+((('הנחות עסקה'!$D$72*'הנחות עסקה'!$I$70)/365)*חישובים!$D$23*(0.1*(ROUND('מודל כלכלי'!$C$59*(1+0.03)^13,-4)))*0.5)))))+(-PV(חישובים!$D$21/12,(('הנחות עסקה'!$D$72*'הנחות עסקה'!$I$70)/365*12),(-FV('מודל כלכלי'!$C$20,(13+(('הנחות עסקה'!$D$71-'הנחות עסקה'!$D$72)*'הנחות עסקה'!$I$70)/365),,'מודל כלכלי'!$C$53)))))*היוון!$C$26)),ROUND('מודל כלכלי'!$C$59*(1+0.03)^13,-4)))-(חישובים!$D$28*(1+חישובים!$D$29)^13))*0.25),-4))+'מודל כלכלי'!$C$45)/'מודל כלכלי'!$C$45)^(1/13)-1</f>
        <v>0.11706667978221041</v>
      </c>
    </row>
    <row r="12" spans="2:12" ht="15" customHeight="1">
      <c r="B12" s="74">
        <v>0.04</v>
      </c>
      <c r="C12" s="59">
        <f>(((ROUND((IF('מודל כלכלי'!$C$26="פליפ",((-PV(חישובים!$D$21/12,(('הנחות עסקה'!$D$72*'הנחות עסקה'!$I$70)/365*12),(-FV('מודל כלכלי'!$C$20,(6+(('הנחות עסקה'!$D$71-'הנחות עסקה'!$D$72)*'הנחות עסקה'!$I$70)/365),,'מודל כלכלי'!$C$53))))+((0.07*(ROUND('מודל כלכלי'!$C$59*(1+0.04)^6,-4)))+(0.13*(ROUND('מודל כלכלי'!$C$59*(1+0.04)^6,-4)))+(-PV(חישובים!$D$21,((('הנחות עסקה'!$D$72*'הנחות עסקה'!$I$70)-30)/365),,((0.7*(ROUND('מודל כלכלי'!$C$59*(1+0.04)^6,-4)))+(((('הנחות עסקה'!$D$72*'הנחות עסקה'!$I$70)-30)/365)*חישובים!$D$23*(0.7*(ROUND('מודל כלכלי'!$C$59*(1+0.04)^6,-4)))*0.5))))+(-PV(חישובים!$D$21,(('הנחות עסקה'!$D$72*'הנחות עסקה'!$I$70)/365),,((0.1*(ROUND('מודל כלכלי'!$C$59*(1+0.04)^6,-4)))+((('הנחות עסקה'!$D$72*'הנחות עסקה'!$I$70)/365)*חישובים!$D$23*(0.1*(ROUND('מודל כלכלי'!$C$59*(1+0.04)^6,-4)))*0.5)))))+(-(((0.07*(ROUND('מודל כלכלי'!$C$59*(1+0.04)^6,-4)))+(0.13*(ROUND('מודל כלכלי'!$C$59*(1+0.04)^6,-4)))+(-PV(חישובים!$D$21,((('הנחות עסקה'!$D$72*'הנחות עסקה'!$I$70)-30)/365),,((0.7*(ROUND('מודל כלכלי'!$C$59*(1+0.04)^6,-4)))+(((('הנחות עסקה'!$D$72*'הנחות עסקה'!$I$70)-30)/365)*חישובים!$D$23*(0.7*(ROUND('מודל כלכלי'!$C$59*(1+0.04)^6,-4)))*0.5))))+(-PV(חישובים!$D$21,(('הנחות עסקה'!$D$72*'הנחות עסקה'!$I$70)/365),,((0.1*(ROUND('מודל כלכלי'!$C$59*(1+0.04)^6,-4)))+((('הנחות עסקה'!$D$72*'הנחות עסקה'!$I$70)/365)*חישובים!$D$23*(0.1*(ROUND('מודל כלכלי'!$C$59*(1+0.04)^6,-4)))*0.5)))))+(-PV(חישובים!$D$21/12,(('הנחות עסקה'!$D$72*'הנחות עסקה'!$I$70)/365*12),(-FV('מודל כלכלי'!$C$20,(6+(('הנחות עסקה'!$D$71-'הנחות עסקה'!$D$72)*'הנחות עסקה'!$I$70)/365),,'מודל כלכלי'!$C$53)))))*היוון!$C$26)),ROUND('מודל כלכלי'!$C$59*(1+0.04)^6,-4)))+(ROUND(FV('מודל כלכלי'!$C$17/12,6*12,'מודל כלכלי'!$C$48,'מודל כלכלי'!$C$46),-4))+(ROUND(-'מודל כלכלי'!$C$66*(IF('מודל כלכלי'!$C$26="פליפ",((-PV(חישובים!$D$21/12,(('הנחות עסקה'!$D$72*'הנחות עסקה'!$I$70)/365*12),(-FV('מודל כלכלי'!$C$20,(6+(('הנחות עסקה'!$D$71-'הנחות עסקה'!$D$72)*'הנחות עסקה'!$I$70)/365),,'מודל כלכלי'!$C$53))))+((0.07*(ROUND('מודל כלכלי'!$C$59*(1+0.04)^6,-4)))+(0.13*(ROUND('מודל כלכלי'!$C$59*(1+0.04)^6,-4)))+(-PV(חישובים!$D$21,((('הנחות עסקה'!$D$72*'הנחות עסקה'!$I$70)-30)/365),,((0.7*(ROUND('מודל כלכלי'!$C$59*(1+0.04)^6,-4)))+(((('הנחות עסקה'!$D$72*'הנחות עסקה'!$I$70)-30)/365)*חישובים!$D$23*(0.7*(ROUND('מודל כלכלי'!$C$59*(1+0.04)^6,-4)))*0.5))))+(-PV(חישובים!$D$21,(('הנחות עסקה'!$D$72*'הנחות עסקה'!$I$70)/365),,((0.1*(ROUND('מודל כלכלי'!$C$59*(1+0.04)^6,-4)))+((('הנחות עסקה'!$D$72*'הנחות עסקה'!$I$70)/365)*חישובים!$D$23*(0.1*(ROUND('מודל כלכלי'!$C$59*(1+0.04)^6,-4)))*0.5)))))+(-(((0.07*(ROUND('מודל כלכלי'!$C$59*(1+0.04)^6,-4)))+(0.13*(ROUND('מודל כלכלי'!$C$59*(1+0.04)^6,-4)))+(-PV(חישובים!$D$21,((('הנחות עסקה'!$D$72*'הנחות עסקה'!$I$70)-30)/365),,((0.7*(ROUND('מודל כלכלי'!$C$59*(1+0.04)^6,-4)))+(((('הנחות עסקה'!$D$72*'הנחות עסקה'!$I$70)-30)/365)*חישובים!$D$23*(0.7*(ROUND('מודל כלכלי'!$C$59*(1+0.04)^6,-4)))*0.5))))+(-PV(חישובים!$D$21,(('הנחות עסקה'!$D$72*'הנחות עסקה'!$I$70)/365),,((0.1*(ROUND('מודל כלכלי'!$C$59*(1+0.04)^6,-4)))+((('הנחות עסקה'!$D$72*'הנחות עסקה'!$I$70)/365)*חישובים!$D$23*(0.1*(ROUND('מודל כלכלי'!$C$59*(1+0.04)^6,-4)))*0.5)))))+(-PV(חישובים!$D$21/12,(('הנחות עסקה'!$D$72*'הנחות עסקה'!$I$70)/365*12),(-FV('מודל כלכלי'!$C$20,(6+(('הנחות עסקה'!$D$71-'הנחות עסקה'!$D$72)*'הנחות עסקה'!$I$70)/365),,'מודל כלכלי'!$C$53)))))*היוון!$C$26)),ROUND('מודל כלכלי'!$C$59*(1+0.04)^6,-4)))*'מודל כלכלי'!$C$14-'מודל כלכלי'!$C$68*(IF('מודל כלכלי'!$C$26="פליפ",((-PV(חישובים!$D$21/12,(('הנחות עסקה'!$D$72*'הנחות עסקה'!$I$70)/365*12),(-FV('מודל כלכלי'!$C$20,(6+(('הנחות עסקה'!$D$71-'הנחות עסקה'!$D$72)*'הנחות עסקה'!$I$70)/365),,'מודל כלכלי'!$C$53))))+((0.07*(ROUND('מודל כלכלי'!$C$59*(1+0.04)^6,-4)))+(0.13*(ROUND('מודל כלכלי'!$C$59*(1+0.04)^6,-4)))+(-PV(חישובים!$D$21,((('הנחות עסקה'!$D$72*'הנחות עסקה'!$I$70)-30)/365),,((0.7*(ROUND('מודל כלכלי'!$C$59*(1+0.04)^6,-4)))+(((('הנחות עסקה'!$D$72*'הנחות עסקה'!$I$70)-30)/365)*חישובים!$D$23*(0.7*(ROUND('מודל כלכלי'!$C$59*(1+0.04)^6,-4)))*0.5))))+(-PV(חישובים!$D$21,(('הנחות עסקה'!$D$72*'הנחות עסקה'!$I$70)/365),,((0.1*(ROUND('מודל כלכלי'!$C$59*(1+0.04)^6,-4)))+((('הנחות עסקה'!$D$72*'הנחות עסקה'!$I$70)/365)*חישובים!$D$23*(0.1*(ROUND('מודל כלכלי'!$C$59*(1+0.04)^6,-4)))*0.5)))))+(-(((0.07*(ROUND('מודל כלכלי'!$C$59*(1+0.04)^6,-4)))+(0.13*(ROUND('מודל כלכלי'!$C$59*(1+0.04)^6,-4)))+(-PV(חישובים!$D$21,((('הנחות עסקה'!$D$72*'הנחות עסקה'!$I$70)-30)/365),,((0.7*(ROUND('מודל כלכלי'!$C$59*(1+0.04)^6,-4)))+(((('הנחות עסקה'!$D$72*'הנחות עסקה'!$I$70)-30)/365)*חישובים!$D$23*(0.7*(ROUND('מודל כלכלי'!$C$59*(1+0.04)^6,-4)))*0.5))))+(-PV(חישובים!$D$21,(('הנחות עסקה'!$D$72*'הנחות עסקה'!$I$70)/365),,((0.1*(ROUND('מודל כלכלי'!$C$59*(1+0.04)^6,-4)))+((('הנחות עסקה'!$D$72*'הנחות עסקה'!$I$70)/365)*חישובים!$D$23*(0.1*(ROUND('מודל כלכלי'!$C$59*(1+0.04)^6,-4)))*0.5)))))+(-PV(חישובים!$D$21/12,(('הנחות עסקה'!$D$72*'הנחות עסקה'!$I$70)/365*12),(-FV('מודל כלכלי'!$C$20,(6+(('הנחות עסקה'!$D$71-'הנחות עסקה'!$D$72)*'הנחות עסקה'!$I$70)/365),,'מודל כלכלי'!$C$53)))))*היוון!$C$26)),ROUND('מודל כלכלי'!$C$59*(1+0.04)^6,-4)))*'מודל כלכלי'!$C$14+'מודל כלכלי'!$C$70,-3))+(ROUND(-FV(חישובים!$D$22,6*12,'מודל כלכלי'!$C$55),-3))+(-'מודל כלכלי'!$C$45)+(-MAX(0,(IF('מודל כלכלי'!$C$26="פליפ",((-PV(חישובים!$D$21/12,(('הנחות עסקה'!$D$72*'הנחות עסקה'!$I$70)/365*12),(-FV('מודל כלכלי'!$C$20,(6+(('הנחות עסקה'!$D$71-'הנחות עסקה'!$D$72)*'הנחות עסקה'!$I$70)/365),,'מודל כלכלי'!$C$53))))+((0.07*(ROUND('מודל כלכלי'!$C$59*(1+0.04)^6,-4)))+(0.13*(ROUND('מודל כלכלי'!$C$59*(1+0.04)^6,-4)))+(-PV(חישובים!$D$21,((('הנחות עסקה'!$D$72*'הנחות עסקה'!$I$70)-30)/365),,((0.7*(ROUND('מודל כלכלי'!$C$59*(1+0.04)^6,-4)))+(((('הנחות עסקה'!$D$72*'הנחות עסקה'!$I$70)-30)/365)*חישובים!$D$23*(0.7*(ROUND('מודל כלכלי'!$C$59*(1+0.04)^6,-4)))*0.5))))+(-PV(חישובים!$D$21,(('הנחות עסקה'!$D$72*'הנחות עסקה'!$I$70)/365),,((0.1*(ROUND('מודל כלכלי'!$C$59*(1+0.04)^6,-4)))+((('הנחות עסקה'!$D$72*'הנחות עסקה'!$I$70)/365)*חישובים!$D$23*(0.1*(ROUND('מודל כלכלי'!$C$59*(1+0.04)^6,-4)))*0.5)))))+(-(((0.07*(ROUND('מודל כלכלי'!$C$59*(1+0.04)^6,-4)))+(0.13*(ROUND('מודל כלכלי'!$C$59*(1+0.04)^6,-4)))+(-PV(חישובים!$D$21,((('הנחות עסקה'!$D$72*'הנחות עסקה'!$I$70)-30)/365),,((0.7*(ROUND('מודל כלכלי'!$C$59*(1+0.04)^6,-4)))+(((('הנחות עסקה'!$D$72*'הנחות עסקה'!$I$70)-30)/365)*חישובים!$D$23*(0.7*(ROUND('מודל כלכלי'!$C$59*(1+0.04)^6,-4)))*0.5))))+(-PV(חישובים!$D$21,(('הנחות עסקה'!$D$72*'הנחות עסקה'!$I$70)/365),,((0.1*(ROUND('מודל כלכלי'!$C$59*(1+0.04)^6,-4)))+((('הנחות עסקה'!$D$72*'הנחות עסקה'!$I$70)/365)*חישובים!$D$23*(0.1*(ROUND('מודל כלכלי'!$C$59*(1+0.04)^6,-4)))*0.5)))))+(-PV(חישובים!$D$21/12,(('הנחות עסקה'!$D$72*'הנחות עסקה'!$I$70)/365*12),(-FV('מודל כלכלי'!$C$20,(6+(('הנחות עסקה'!$D$71-'הנחות עסקה'!$D$72)*'הנחות עסקה'!$I$70)/365),,'מודל כלכלי'!$C$53)))))*היוון!$C$26)),ROUND('מודל כלכלי'!$C$59*(1+0.04)^6,-4)))-(חישובים!$D$28*(1+חישובים!$D$29)^6))*0.25),-4))+'מודל כלכלי'!$C$45)/'מודל כלכלי'!$C$45)^(1/6)-1</f>
        <v>0.23242455975676002</v>
      </c>
      <c r="D12" s="59">
        <f>(((ROUND((IF('מודל כלכלי'!$C$26="פליפ",((-PV(חישובים!$D$21/12,(('הנחות עסקה'!$D$72*'הנחות עסקה'!$I$70)/365*12),(-FV('מודל כלכלי'!$C$20,(7+(('הנחות עסקה'!$D$71-'הנחות עסקה'!$D$72)*'הנחות עסקה'!$I$70)/365),,'מודל כלכלי'!$C$53))))+((0.07*(ROUND('מודל כלכלי'!$C$59*(1+0.04)^7,-4)))+(0.13*(ROUND('מודל כלכלי'!$C$59*(1+0.04)^7,-4)))+(-PV(חישובים!$D$21,((('הנחות עסקה'!$D$72*'הנחות עסקה'!$I$70)-30)/365),,((0.7*(ROUND('מודל כלכלי'!$C$59*(1+0.04)^7,-4)))+(((('הנחות עסקה'!$D$72*'הנחות עסקה'!$I$70)-30)/365)*חישובים!$D$23*(0.7*(ROUND('מודל כלכלי'!$C$59*(1+0.04)^7,-4)))*0.5))))+(-PV(חישובים!$D$21,(('הנחות עסקה'!$D$72*'הנחות עסקה'!$I$70)/365),,((0.1*(ROUND('מודל כלכלי'!$C$59*(1+0.04)^7,-4)))+((('הנחות עסקה'!$D$72*'הנחות עסקה'!$I$70)/365)*חישובים!$D$23*(0.1*(ROUND('מודל כלכלי'!$C$59*(1+0.04)^7,-4)))*0.5)))))+(-(((0.07*(ROUND('מודל כלכלי'!$C$59*(1+0.04)^7,-4)))+(0.13*(ROUND('מודל כלכלי'!$C$59*(1+0.04)^7,-4)))+(-PV(חישובים!$D$21,((('הנחות עסקה'!$D$72*'הנחות עסקה'!$I$70)-30)/365),,((0.7*(ROUND('מודל כלכלי'!$C$59*(1+0.04)^7,-4)))+(((('הנחות עסקה'!$D$72*'הנחות עסקה'!$I$70)-30)/365)*חישובים!$D$23*(0.7*(ROUND('מודל כלכלי'!$C$59*(1+0.04)^7,-4)))*0.5))))+(-PV(חישובים!$D$21,(('הנחות עסקה'!$D$72*'הנחות עסקה'!$I$70)/365),,((0.1*(ROUND('מודל כלכלי'!$C$59*(1+0.04)^7,-4)))+((('הנחות עסקה'!$D$72*'הנחות עסקה'!$I$70)/365)*חישובים!$D$23*(0.1*(ROUND('מודל כלכלי'!$C$59*(1+0.04)^7,-4)))*0.5)))))+(-PV(חישובים!$D$21/12,(('הנחות עסקה'!$D$72*'הנחות עסקה'!$I$70)/365*12),(-FV('מודל כלכלי'!$C$20,(7+(('הנחות עסקה'!$D$71-'הנחות עסקה'!$D$72)*'הנחות עסקה'!$I$70)/365),,'מודל כלכלי'!$C$53)))))*היוון!$C$26)),ROUND('מודל כלכלי'!$C$59*(1+0.04)^7,-4)))+(ROUND(FV('מודל כלכלי'!$C$17/12,7*12,'מודל כלכלי'!$C$48,'מודל כלכלי'!$C$46),-4))+(ROUND(-'מודל כלכלי'!$C$66*(IF('מודל כלכלי'!$C$26="פליפ",((-PV(חישובים!$D$21/12,(('הנחות עסקה'!$D$72*'הנחות עסקה'!$I$70)/365*12),(-FV('מודל כלכלי'!$C$20,(7+(('הנחות עסקה'!$D$71-'הנחות עסקה'!$D$72)*'הנחות עסקה'!$I$70)/365),,'מודל כלכלי'!$C$53))))+((0.07*(ROUND('מודל כלכלי'!$C$59*(1+0.04)^7,-4)))+(0.13*(ROUND('מודל כלכלי'!$C$59*(1+0.04)^7,-4)))+(-PV(חישובים!$D$21,((('הנחות עסקה'!$D$72*'הנחות עסקה'!$I$70)-30)/365),,((0.7*(ROUND('מודל כלכלי'!$C$59*(1+0.04)^7,-4)))+(((('הנחות עסקה'!$D$72*'הנחות עסקה'!$I$70)-30)/365)*חישובים!$D$23*(0.7*(ROUND('מודל כלכלי'!$C$59*(1+0.04)^7,-4)))*0.5))))+(-PV(חישובים!$D$21,(('הנחות עסקה'!$D$72*'הנחות עסקה'!$I$70)/365),,((0.1*(ROUND('מודל כלכלי'!$C$59*(1+0.04)^7,-4)))+((('הנחות עסקה'!$D$72*'הנחות עסקה'!$I$70)/365)*חישובים!$D$23*(0.1*(ROUND('מודל כלכלי'!$C$59*(1+0.04)^7,-4)))*0.5)))))+(-(((0.07*(ROUND('מודל כלכלי'!$C$59*(1+0.04)^7,-4)))+(0.13*(ROUND('מודל כלכלי'!$C$59*(1+0.04)^7,-4)))+(-PV(חישובים!$D$21,((('הנחות עסקה'!$D$72*'הנחות עסקה'!$I$70)-30)/365),,((0.7*(ROUND('מודל כלכלי'!$C$59*(1+0.04)^7,-4)))+(((('הנחות עסקה'!$D$72*'הנחות עסקה'!$I$70)-30)/365)*חישובים!$D$23*(0.7*(ROUND('מודל כלכלי'!$C$59*(1+0.04)^7,-4)))*0.5))))+(-PV(חישובים!$D$21,(('הנחות עסקה'!$D$72*'הנחות עסקה'!$I$70)/365),,((0.1*(ROUND('מודל כלכלי'!$C$59*(1+0.04)^7,-4)))+((('הנחות עסקה'!$D$72*'הנחות עסקה'!$I$70)/365)*חישובים!$D$23*(0.1*(ROUND('מודל כלכלי'!$C$59*(1+0.04)^7,-4)))*0.5)))))+(-PV(חישובים!$D$21/12,(('הנחות עסקה'!$D$72*'הנחות עסקה'!$I$70)/365*12),(-FV('מודל כלכלי'!$C$20,(7+(('הנחות עסקה'!$D$71-'הנחות עסקה'!$D$72)*'הנחות עסקה'!$I$70)/365),,'מודל כלכלי'!$C$53)))))*היוון!$C$26)),ROUND('מודל כלכלי'!$C$59*(1+0.04)^7,-4)))*'מודל כלכלי'!$C$14-'מודל כלכלי'!$C$68*(IF('מודל כלכלי'!$C$26="פליפ",((-PV(חישובים!$D$21/12,(('הנחות עסקה'!$D$72*'הנחות עסקה'!$I$70)/365*12),(-FV('מודל כלכלי'!$C$20,(7+(('הנחות עסקה'!$D$71-'הנחות עסקה'!$D$72)*'הנחות עסקה'!$I$70)/365),,'מודל כלכלי'!$C$53))))+((0.07*(ROUND('מודל כלכלי'!$C$59*(1+0.04)^7,-4)))+(0.13*(ROUND('מודל כלכלי'!$C$59*(1+0.04)^7,-4)))+(-PV(חישובים!$D$21,((('הנחות עסקה'!$D$72*'הנחות עסקה'!$I$70)-30)/365),,((0.7*(ROUND('מודל כלכלי'!$C$59*(1+0.04)^7,-4)))+(((('הנחות עסקה'!$D$72*'הנחות עסקה'!$I$70)-30)/365)*חישובים!$D$23*(0.7*(ROUND('מודל כלכלי'!$C$59*(1+0.04)^7,-4)))*0.5))))+(-PV(חישובים!$D$21,(('הנחות עסקה'!$D$72*'הנחות עסקה'!$I$70)/365),,((0.1*(ROUND('מודל כלכלי'!$C$59*(1+0.04)^7,-4)))+((('הנחות עסקה'!$D$72*'הנחות עסקה'!$I$70)/365)*חישובים!$D$23*(0.1*(ROUND('מודל כלכלי'!$C$59*(1+0.04)^7,-4)))*0.5)))))+(-(((0.07*(ROUND('מודל כלכלי'!$C$59*(1+0.04)^7,-4)))+(0.13*(ROUND('מודל כלכלי'!$C$59*(1+0.04)^7,-4)))+(-PV(חישובים!$D$21,((('הנחות עסקה'!$D$72*'הנחות עסקה'!$I$70)-30)/365),,((0.7*(ROUND('מודל כלכלי'!$C$59*(1+0.04)^7,-4)))+(((('הנחות עסקה'!$D$72*'הנחות עסקה'!$I$70)-30)/365)*חישובים!$D$23*(0.7*(ROUND('מודל כלכלי'!$C$59*(1+0.04)^7,-4)))*0.5))))+(-PV(חישובים!$D$21,(('הנחות עסקה'!$D$72*'הנחות עסקה'!$I$70)/365),,((0.1*(ROUND('מודל כלכלי'!$C$59*(1+0.04)^7,-4)))+((('הנחות עסקה'!$D$72*'הנחות עסקה'!$I$70)/365)*חישובים!$D$23*(0.1*(ROUND('מודל כלכלי'!$C$59*(1+0.04)^7,-4)))*0.5)))))+(-PV(חישובים!$D$21/12,(('הנחות עסקה'!$D$72*'הנחות עסקה'!$I$70)/365*12),(-FV('מודל כלכלי'!$C$20,(7+(('הנחות עסקה'!$D$71-'הנחות עסקה'!$D$72)*'הנחות עסקה'!$I$70)/365),,'מודל כלכלי'!$C$53)))))*היוון!$C$26)),ROUND('מודל כלכלי'!$C$59*(1+0.04)^7,-4)))*'מודל כלכלי'!$C$14+'מודל כלכלי'!$C$70,-3))+(ROUND(-FV(חישובים!$D$22,7*12,'מודל כלכלי'!$C$55),-3))+(-'מודל כלכלי'!$C$45)+(-MAX(0,(IF('מודל כלכלי'!$C$26="פליפ",((-PV(חישובים!$D$21/12,(('הנחות עסקה'!$D$72*'הנחות עסקה'!$I$70)/365*12),(-FV('מודל כלכלי'!$C$20,(7+(('הנחות עסקה'!$D$71-'הנחות עסקה'!$D$72)*'הנחות עסקה'!$I$70)/365),,'מודל כלכלי'!$C$53))))+((0.07*(ROUND('מודל כלכלי'!$C$59*(1+0.04)^7,-4)))+(0.13*(ROUND('מודל כלכלי'!$C$59*(1+0.04)^7,-4)))+(-PV(חישובים!$D$21,((('הנחות עסקה'!$D$72*'הנחות עסקה'!$I$70)-30)/365),,((0.7*(ROUND('מודל כלכלי'!$C$59*(1+0.04)^7,-4)))+(((('הנחות עסקה'!$D$72*'הנחות עסקה'!$I$70)-30)/365)*חישובים!$D$23*(0.7*(ROUND('מודל כלכלי'!$C$59*(1+0.04)^7,-4)))*0.5))))+(-PV(חישובים!$D$21,(('הנחות עסקה'!$D$72*'הנחות עסקה'!$I$70)/365),,((0.1*(ROUND('מודל כלכלי'!$C$59*(1+0.04)^7,-4)))+((('הנחות עסקה'!$D$72*'הנחות עסקה'!$I$70)/365)*חישובים!$D$23*(0.1*(ROUND('מודל כלכלי'!$C$59*(1+0.04)^7,-4)))*0.5)))))+(-(((0.07*(ROUND('מודל כלכלי'!$C$59*(1+0.04)^7,-4)))+(0.13*(ROUND('מודל כלכלי'!$C$59*(1+0.04)^7,-4)))+(-PV(חישובים!$D$21,((('הנחות עסקה'!$D$72*'הנחות עסקה'!$I$70)-30)/365),,((0.7*(ROUND('מודל כלכלי'!$C$59*(1+0.04)^7,-4)))+(((('הנחות עסקה'!$D$72*'הנחות עסקה'!$I$70)-30)/365)*חישובים!$D$23*(0.7*(ROUND('מודל כלכלי'!$C$59*(1+0.04)^7,-4)))*0.5))))+(-PV(חישובים!$D$21,(('הנחות עסקה'!$D$72*'הנחות עסקה'!$I$70)/365),,((0.1*(ROUND('מודל כלכלי'!$C$59*(1+0.04)^7,-4)))+((('הנחות עסקה'!$D$72*'הנחות עסקה'!$I$70)/365)*חישובים!$D$23*(0.1*(ROUND('מודל כלכלי'!$C$59*(1+0.04)^7,-4)))*0.5)))))+(-PV(חישובים!$D$21/12,(('הנחות עסקה'!$D$72*'הנחות עסקה'!$I$70)/365*12),(-FV('מודל כלכלי'!$C$20,(7+(('הנחות עסקה'!$D$71-'הנחות עסקה'!$D$72)*'הנחות עסקה'!$I$70)/365),,'מודל כלכלי'!$C$53)))))*היוון!$C$26)),ROUND('מודל כלכלי'!$C$59*(1+0.04)^7,-4)))-(חישובים!$D$28*(1+חישובים!$D$29)^7))*0.25),-4))+'מודל כלכלי'!$C$45)/'מודל כלכלי'!$C$45)^(1/7)-1</f>
        <v>0.20627625611946754</v>
      </c>
      <c r="E12" s="59">
        <f>(((ROUND((IF('מודל כלכלי'!$C$26="פליפ",((-PV(חישובים!$D$21/12,(('הנחות עסקה'!$D$72*'הנחות עסקה'!$I$70)/365*12),(-FV('מודל כלכלי'!$C$20,(8+(('הנחות עסקה'!$D$71-'הנחות עסקה'!$D$72)*'הנחות עסקה'!$I$70)/365),,'מודל כלכלי'!$C$53))))+((0.07*(ROUND('מודל כלכלי'!$C$59*(1+0.04)^8,-4)))+(0.13*(ROUND('מודל כלכלי'!$C$59*(1+0.04)^8,-4)))+(-PV(חישובים!$D$21,((('הנחות עסקה'!$D$72*'הנחות עסקה'!$I$70)-30)/365),,((0.7*(ROUND('מודל כלכלי'!$C$59*(1+0.04)^8,-4)))+(((('הנחות עסקה'!$D$72*'הנחות עסקה'!$I$70)-30)/365)*חישובים!$D$23*(0.7*(ROUND('מודל כלכלי'!$C$59*(1+0.04)^8,-4)))*0.5))))+(-PV(חישובים!$D$21,(('הנחות עסקה'!$D$72*'הנחות עסקה'!$I$70)/365),,((0.1*(ROUND('מודל כלכלי'!$C$59*(1+0.04)^8,-4)))+((('הנחות עסקה'!$D$72*'הנחות עסקה'!$I$70)/365)*חישובים!$D$23*(0.1*(ROUND('מודל כלכלי'!$C$59*(1+0.04)^8,-4)))*0.5)))))+(-(((0.07*(ROUND('מודל כלכלי'!$C$59*(1+0.04)^8,-4)))+(0.13*(ROUND('מודל כלכלי'!$C$59*(1+0.04)^8,-4)))+(-PV(חישובים!$D$21,((('הנחות עסקה'!$D$72*'הנחות עסקה'!$I$70)-30)/365),,((0.7*(ROUND('מודל כלכלי'!$C$59*(1+0.04)^8,-4)))+(((('הנחות עסקה'!$D$72*'הנחות עסקה'!$I$70)-30)/365)*חישובים!$D$23*(0.7*(ROUND('מודל כלכלי'!$C$59*(1+0.04)^8,-4)))*0.5))))+(-PV(חישובים!$D$21,(('הנחות עסקה'!$D$72*'הנחות עסקה'!$I$70)/365),,((0.1*(ROUND('מודל כלכלי'!$C$59*(1+0.04)^8,-4)))+((('הנחות עסקה'!$D$72*'הנחות עסקה'!$I$70)/365)*חישובים!$D$23*(0.1*(ROUND('מודל כלכלי'!$C$59*(1+0.04)^8,-4)))*0.5)))))+(-PV(חישובים!$D$21/12,(('הנחות עסקה'!$D$72*'הנחות עסקה'!$I$70)/365*12),(-FV('מודל כלכלי'!$C$20,(8+(('הנחות עסקה'!$D$71-'הנחות עסקה'!$D$72)*'הנחות עסקה'!$I$70)/365),,'מודל כלכלי'!$C$53)))))*היוון!$C$26)),ROUND('מודל כלכלי'!$C$59*(1+0.04)^8,-4)))+(ROUND(FV('מודל כלכלי'!$C$17/12,8*12,'מודל כלכלי'!$C$48,'מודל כלכלי'!$C$46),-4))+(ROUND(-'מודל כלכלי'!$C$66*(IF('מודל כלכלי'!$C$26="פליפ",((-PV(חישובים!$D$21/12,(('הנחות עסקה'!$D$72*'הנחות עסקה'!$I$70)/365*12),(-FV('מודל כלכלי'!$C$20,(8+(('הנחות עסקה'!$D$71-'הנחות עסקה'!$D$72)*'הנחות עסקה'!$I$70)/365),,'מודל כלכלי'!$C$53))))+((0.07*(ROUND('מודל כלכלי'!$C$59*(1+0.04)^8,-4)))+(0.13*(ROUND('מודל כלכלי'!$C$59*(1+0.04)^8,-4)))+(-PV(חישובים!$D$21,((('הנחות עסקה'!$D$72*'הנחות עסקה'!$I$70)-30)/365),,((0.7*(ROUND('מודל כלכלי'!$C$59*(1+0.04)^8,-4)))+(((('הנחות עסקה'!$D$72*'הנחות עסקה'!$I$70)-30)/365)*חישובים!$D$23*(0.7*(ROUND('מודל כלכלי'!$C$59*(1+0.04)^8,-4)))*0.5))))+(-PV(חישובים!$D$21,(('הנחות עסקה'!$D$72*'הנחות עסקה'!$I$70)/365),,((0.1*(ROUND('מודל כלכלי'!$C$59*(1+0.04)^8,-4)))+((('הנחות עסקה'!$D$72*'הנחות עסקה'!$I$70)/365)*חישובים!$D$23*(0.1*(ROUND('מודל כלכלי'!$C$59*(1+0.04)^8,-4)))*0.5)))))+(-(((0.07*(ROUND('מודל כלכלי'!$C$59*(1+0.04)^8,-4)))+(0.13*(ROUND('מודל כלכלי'!$C$59*(1+0.04)^8,-4)))+(-PV(חישובים!$D$21,((('הנחות עסקה'!$D$72*'הנחות עסקה'!$I$70)-30)/365),,((0.7*(ROUND('מודל כלכלי'!$C$59*(1+0.04)^8,-4)))+(((('הנחות עסקה'!$D$72*'הנחות עסקה'!$I$70)-30)/365)*חישובים!$D$23*(0.7*(ROUND('מודל כלכלי'!$C$59*(1+0.04)^8,-4)))*0.5))))+(-PV(חישובים!$D$21,(('הנחות עסקה'!$D$72*'הנחות עסקה'!$I$70)/365),,((0.1*(ROUND('מודל כלכלי'!$C$59*(1+0.04)^8,-4)))+((('הנחות עסקה'!$D$72*'הנחות עסקה'!$I$70)/365)*חישובים!$D$23*(0.1*(ROUND('מודל כלכלי'!$C$59*(1+0.04)^8,-4)))*0.5)))))+(-PV(חישובים!$D$21/12,(('הנחות עסקה'!$D$72*'הנחות עסקה'!$I$70)/365*12),(-FV('מודל כלכלי'!$C$20,(8+(('הנחות עסקה'!$D$71-'הנחות עסקה'!$D$72)*'הנחות עסקה'!$I$70)/365),,'מודל כלכלי'!$C$53)))))*היוון!$C$26)),ROUND('מודל כלכלי'!$C$59*(1+0.04)^8,-4)))*'מודל כלכלי'!$C$14-'מודל כלכלי'!$C$68*(IF('מודל כלכלי'!$C$26="פליפ",((-PV(חישובים!$D$21/12,(('הנחות עסקה'!$D$72*'הנחות עסקה'!$I$70)/365*12),(-FV('מודל כלכלי'!$C$20,(8+(('הנחות עסקה'!$D$71-'הנחות עסקה'!$D$72)*'הנחות עסקה'!$I$70)/365),,'מודל כלכלי'!$C$53))))+((0.07*(ROUND('מודל כלכלי'!$C$59*(1+0.04)^8,-4)))+(0.13*(ROUND('מודל כלכלי'!$C$59*(1+0.04)^8,-4)))+(-PV(חישובים!$D$21,((('הנחות עסקה'!$D$72*'הנחות עסקה'!$I$70)-30)/365),,((0.7*(ROUND('מודל כלכלי'!$C$59*(1+0.04)^8,-4)))+(((('הנחות עסקה'!$D$72*'הנחות עסקה'!$I$70)-30)/365)*חישובים!$D$23*(0.7*(ROUND('מודל כלכלי'!$C$59*(1+0.04)^8,-4)))*0.5))))+(-PV(חישובים!$D$21,(('הנחות עסקה'!$D$72*'הנחות עסקה'!$I$70)/365),,((0.1*(ROUND('מודל כלכלי'!$C$59*(1+0.04)^8,-4)))+((('הנחות עסקה'!$D$72*'הנחות עסקה'!$I$70)/365)*חישובים!$D$23*(0.1*(ROUND('מודל כלכלי'!$C$59*(1+0.04)^8,-4)))*0.5)))))+(-(((0.07*(ROUND('מודל כלכלי'!$C$59*(1+0.04)^8,-4)))+(0.13*(ROUND('מודל כלכלי'!$C$59*(1+0.04)^8,-4)))+(-PV(חישובים!$D$21,((('הנחות עסקה'!$D$72*'הנחות עסקה'!$I$70)-30)/365),,((0.7*(ROUND('מודל כלכלי'!$C$59*(1+0.04)^8,-4)))+(((('הנחות עסקה'!$D$72*'הנחות עסקה'!$I$70)-30)/365)*חישובים!$D$23*(0.7*(ROUND('מודל כלכלי'!$C$59*(1+0.04)^8,-4)))*0.5))))+(-PV(חישובים!$D$21,(('הנחות עסקה'!$D$72*'הנחות עסקה'!$I$70)/365),,((0.1*(ROUND('מודל כלכלי'!$C$59*(1+0.04)^8,-4)))+((('הנחות עסקה'!$D$72*'הנחות עסקה'!$I$70)/365)*חישובים!$D$23*(0.1*(ROUND('מודל כלכלי'!$C$59*(1+0.04)^8,-4)))*0.5)))))+(-PV(חישובים!$D$21/12,(('הנחות עסקה'!$D$72*'הנחות עסקה'!$I$70)/365*12),(-FV('מודל כלכלי'!$C$20,(8+(('הנחות עסקה'!$D$71-'הנחות עסקה'!$D$72)*'הנחות עסקה'!$I$70)/365),,'מודל כלכלי'!$C$53)))))*היוון!$C$26)),ROUND('מודל כלכלי'!$C$59*(1+0.04)^8,-4)))*'מודל כלכלי'!$C$14+'מודל כלכלי'!$C$70,-3))+(ROUND(-FV(חישובים!$D$22,8*12,'מודל כלכלי'!$C$55),-3))+(-'מודל כלכלי'!$C$45)+(-MAX(0,(IF('מודל כלכלי'!$C$26="פליפ",((-PV(חישובים!$D$21/12,(('הנחות עסקה'!$D$72*'הנחות עסקה'!$I$70)/365*12),(-FV('מודל כלכלי'!$C$20,(8+(('הנחות עסקה'!$D$71-'הנחות עסקה'!$D$72)*'הנחות עסקה'!$I$70)/365),,'מודל כלכלי'!$C$53))))+((0.07*(ROUND('מודל כלכלי'!$C$59*(1+0.04)^8,-4)))+(0.13*(ROUND('מודל כלכלי'!$C$59*(1+0.04)^8,-4)))+(-PV(חישובים!$D$21,((('הנחות עסקה'!$D$72*'הנחות עסקה'!$I$70)-30)/365),,((0.7*(ROUND('מודל כלכלי'!$C$59*(1+0.04)^8,-4)))+(((('הנחות עסקה'!$D$72*'הנחות עסקה'!$I$70)-30)/365)*חישובים!$D$23*(0.7*(ROUND('מודל כלכלי'!$C$59*(1+0.04)^8,-4)))*0.5))))+(-PV(חישובים!$D$21,(('הנחות עסקה'!$D$72*'הנחות עסקה'!$I$70)/365),,((0.1*(ROUND('מודל כלכלי'!$C$59*(1+0.04)^8,-4)))+((('הנחות עסקה'!$D$72*'הנחות עסקה'!$I$70)/365)*חישובים!$D$23*(0.1*(ROUND('מודל כלכלי'!$C$59*(1+0.04)^8,-4)))*0.5)))))+(-(((0.07*(ROUND('מודל כלכלי'!$C$59*(1+0.04)^8,-4)))+(0.13*(ROUND('מודל כלכלי'!$C$59*(1+0.04)^8,-4)))+(-PV(חישובים!$D$21,((('הנחות עסקה'!$D$72*'הנחות עסקה'!$I$70)-30)/365),,((0.7*(ROUND('מודל כלכלי'!$C$59*(1+0.04)^8,-4)))+(((('הנחות עסקה'!$D$72*'הנחות עסקה'!$I$70)-30)/365)*חישובים!$D$23*(0.7*(ROUND('מודל כלכלי'!$C$59*(1+0.04)^8,-4)))*0.5))))+(-PV(חישובים!$D$21,(('הנחות עסקה'!$D$72*'הנחות עסקה'!$I$70)/365),,((0.1*(ROUND('מודל כלכלי'!$C$59*(1+0.04)^8,-4)))+((('הנחות עסקה'!$D$72*'הנחות עסקה'!$I$70)/365)*חישובים!$D$23*(0.1*(ROUND('מודל כלכלי'!$C$59*(1+0.04)^8,-4)))*0.5)))))+(-PV(חישובים!$D$21/12,(('הנחות עסקה'!$D$72*'הנחות עסקה'!$I$70)/365*12),(-FV('מודל כלכלי'!$C$20,(8+(('הנחות עסקה'!$D$71-'הנחות עסקה'!$D$72)*'הנחות עסקה'!$I$70)/365),,'מודל כלכלי'!$C$53)))))*היוון!$C$26)),ROUND('מודל כלכלי'!$C$59*(1+0.04)^8,-4)))-(חישובים!$D$28*(1+חישובים!$D$29)^8))*0.25),-4))+'מודל כלכלי'!$C$45)/'מודל כלכלי'!$C$45)^(1/8)-1</f>
        <v>0.1865441434931967</v>
      </c>
      <c r="F12" s="59">
        <f>(((ROUND((IF('מודל כלכלי'!$C$26="פליפ",((-PV(חישובים!$D$21/12,(('הנחות עסקה'!$D$72*'הנחות עסקה'!$I$70)/365*12),(-FV('מודל כלכלי'!$C$20,(9+(('הנחות עסקה'!$D$71-'הנחות עסקה'!$D$72)*'הנחות עסקה'!$I$70)/365),,'מודל כלכלי'!$C$53))))+((0.07*(ROUND('מודל כלכלי'!$C$59*(1+0.04)^9,-4)))+(0.13*(ROUND('מודל כלכלי'!$C$59*(1+0.04)^9,-4)))+(-PV(חישובים!$D$21,((('הנחות עסקה'!$D$72*'הנחות עסקה'!$I$70)-30)/365),,((0.7*(ROUND('מודל כלכלי'!$C$59*(1+0.04)^9,-4)))+(((('הנחות עסקה'!$D$72*'הנחות עסקה'!$I$70)-30)/365)*חישובים!$D$23*(0.7*(ROUND('מודל כלכלי'!$C$59*(1+0.04)^9,-4)))*0.5))))+(-PV(חישובים!$D$21,(('הנחות עסקה'!$D$72*'הנחות עסקה'!$I$70)/365),,((0.1*(ROUND('מודל כלכלי'!$C$59*(1+0.04)^9,-4)))+((('הנחות עסקה'!$D$72*'הנחות עסקה'!$I$70)/365)*חישובים!$D$23*(0.1*(ROUND('מודל כלכלי'!$C$59*(1+0.04)^9,-4)))*0.5)))))+(-(((0.07*(ROUND('מודל כלכלי'!$C$59*(1+0.04)^9,-4)))+(0.13*(ROUND('מודל כלכלי'!$C$59*(1+0.04)^9,-4)))+(-PV(חישובים!$D$21,((('הנחות עסקה'!$D$72*'הנחות עסקה'!$I$70)-30)/365),,((0.7*(ROUND('מודל כלכלי'!$C$59*(1+0.04)^9,-4)))+(((('הנחות עסקה'!$D$72*'הנחות עסקה'!$I$70)-30)/365)*חישובים!$D$23*(0.7*(ROUND('מודל כלכלי'!$C$59*(1+0.04)^9,-4)))*0.5))))+(-PV(חישובים!$D$21,(('הנחות עסקה'!$D$72*'הנחות עסקה'!$I$70)/365),,((0.1*(ROUND('מודל כלכלי'!$C$59*(1+0.04)^9,-4)))+((('הנחות עסקה'!$D$72*'הנחות עסקה'!$I$70)/365)*חישובים!$D$23*(0.1*(ROUND('מודל כלכלי'!$C$59*(1+0.04)^9,-4)))*0.5)))))+(-PV(חישובים!$D$21/12,(('הנחות עסקה'!$D$72*'הנחות עסקה'!$I$70)/365*12),(-FV('מודל כלכלי'!$C$20,(9+(('הנחות עסקה'!$D$71-'הנחות עסקה'!$D$72)*'הנחות עסקה'!$I$70)/365),,'מודל כלכלי'!$C$53)))))*היוון!$C$26)),ROUND('מודל כלכלי'!$C$59*(1+0.04)^9,-4)))+(ROUND(FV('מודל כלכלי'!$C$17/12,9*12,'מודל כלכלי'!$C$48,'מודל כלכלי'!$C$46),-4))+(ROUND(-'מודל כלכלי'!$C$66*(IF('מודל כלכלי'!$C$26="פליפ",((-PV(חישובים!$D$21/12,(('הנחות עסקה'!$D$72*'הנחות עסקה'!$I$70)/365*12),(-FV('מודל כלכלי'!$C$20,(9+(('הנחות עסקה'!$D$71-'הנחות עסקה'!$D$72)*'הנחות עסקה'!$I$70)/365),,'מודל כלכלי'!$C$53))))+((0.07*(ROUND('מודל כלכלי'!$C$59*(1+0.04)^9,-4)))+(0.13*(ROUND('מודל כלכלי'!$C$59*(1+0.04)^9,-4)))+(-PV(חישובים!$D$21,((('הנחות עסקה'!$D$72*'הנחות עסקה'!$I$70)-30)/365),,((0.7*(ROUND('מודל כלכלי'!$C$59*(1+0.04)^9,-4)))+(((('הנחות עסקה'!$D$72*'הנחות עסקה'!$I$70)-30)/365)*חישובים!$D$23*(0.7*(ROUND('מודל כלכלי'!$C$59*(1+0.04)^9,-4)))*0.5))))+(-PV(חישובים!$D$21,(('הנחות עסקה'!$D$72*'הנחות עסקה'!$I$70)/365),,((0.1*(ROUND('מודל כלכלי'!$C$59*(1+0.04)^9,-4)))+((('הנחות עסקה'!$D$72*'הנחות עסקה'!$I$70)/365)*חישובים!$D$23*(0.1*(ROUND('מודל כלכלי'!$C$59*(1+0.04)^9,-4)))*0.5)))))+(-(((0.07*(ROUND('מודל כלכלי'!$C$59*(1+0.04)^9,-4)))+(0.13*(ROUND('מודל כלכלי'!$C$59*(1+0.04)^9,-4)))+(-PV(חישובים!$D$21,((('הנחות עסקה'!$D$72*'הנחות עסקה'!$I$70)-30)/365),,((0.7*(ROUND('מודל כלכלי'!$C$59*(1+0.04)^9,-4)))+(((('הנחות עסקה'!$D$72*'הנחות עסקה'!$I$70)-30)/365)*חישובים!$D$23*(0.7*(ROUND('מודל כלכלי'!$C$59*(1+0.04)^9,-4)))*0.5))))+(-PV(חישובים!$D$21,(('הנחות עסקה'!$D$72*'הנחות עסקה'!$I$70)/365),,((0.1*(ROUND('מודל כלכלי'!$C$59*(1+0.04)^9,-4)))+((('הנחות עסקה'!$D$72*'הנחות עסקה'!$I$70)/365)*חישובים!$D$23*(0.1*(ROUND('מודל כלכלי'!$C$59*(1+0.04)^9,-4)))*0.5)))))+(-PV(חישובים!$D$21/12,(('הנחות עסקה'!$D$72*'הנחות עסקה'!$I$70)/365*12),(-FV('מודל כלכלי'!$C$20,(9+(('הנחות עסקה'!$D$71-'הנחות עסקה'!$D$72)*'הנחות עסקה'!$I$70)/365),,'מודל כלכלי'!$C$53)))))*היוון!$C$26)),ROUND('מודל כלכלי'!$C$59*(1+0.04)^9,-4)))*'מודל כלכלי'!$C$14-'מודל כלכלי'!$C$68*(IF('מודל כלכלי'!$C$26="פליפ",((-PV(חישובים!$D$21/12,(('הנחות עסקה'!$D$72*'הנחות עסקה'!$I$70)/365*12),(-FV('מודל כלכלי'!$C$20,(9+(('הנחות עסקה'!$D$71-'הנחות עסקה'!$D$72)*'הנחות עסקה'!$I$70)/365),,'מודל כלכלי'!$C$53))))+((0.07*(ROUND('מודל כלכלי'!$C$59*(1+0.04)^9,-4)))+(0.13*(ROUND('מודל כלכלי'!$C$59*(1+0.04)^9,-4)))+(-PV(חישובים!$D$21,((('הנחות עסקה'!$D$72*'הנחות עסקה'!$I$70)-30)/365),,((0.7*(ROUND('מודל כלכלי'!$C$59*(1+0.04)^9,-4)))+(((('הנחות עסקה'!$D$72*'הנחות עסקה'!$I$70)-30)/365)*חישובים!$D$23*(0.7*(ROUND('מודל כלכלי'!$C$59*(1+0.04)^9,-4)))*0.5))))+(-PV(חישובים!$D$21,(('הנחות עסקה'!$D$72*'הנחות עסקה'!$I$70)/365),,((0.1*(ROUND('מודל כלכלי'!$C$59*(1+0.04)^9,-4)))+((('הנחות עסקה'!$D$72*'הנחות עסקה'!$I$70)/365)*חישובים!$D$23*(0.1*(ROUND('מודל כלכלי'!$C$59*(1+0.04)^9,-4)))*0.5)))))+(-(((0.07*(ROUND('מודל כלכלי'!$C$59*(1+0.04)^9,-4)))+(0.13*(ROUND('מודל כלכלי'!$C$59*(1+0.04)^9,-4)))+(-PV(חישובים!$D$21,((('הנחות עסקה'!$D$72*'הנחות עסקה'!$I$70)-30)/365),,((0.7*(ROUND('מודל כלכלי'!$C$59*(1+0.04)^9,-4)))+(((('הנחות עסקה'!$D$72*'הנחות עסקה'!$I$70)-30)/365)*חישובים!$D$23*(0.7*(ROUND('מודל כלכלי'!$C$59*(1+0.04)^9,-4)))*0.5))))+(-PV(חישובים!$D$21,(('הנחות עסקה'!$D$72*'הנחות עסקה'!$I$70)/365),,((0.1*(ROUND('מודל כלכלי'!$C$59*(1+0.04)^9,-4)))+((('הנחות עסקה'!$D$72*'הנחות עסקה'!$I$70)/365)*חישובים!$D$23*(0.1*(ROUND('מודל כלכלי'!$C$59*(1+0.04)^9,-4)))*0.5)))))+(-PV(חישובים!$D$21/12,(('הנחות עסקה'!$D$72*'הנחות עסקה'!$I$70)/365*12),(-FV('מודל כלכלי'!$C$20,(9+(('הנחות עסקה'!$D$71-'הנחות עסקה'!$D$72)*'הנחות עסקה'!$I$70)/365),,'מודל כלכלי'!$C$53)))))*היוון!$C$26)),ROUND('מודל כלכלי'!$C$59*(1+0.04)^9,-4)))*'מודל כלכלי'!$C$14+'מודל כלכלי'!$C$70,-3))+(ROUND(-FV(חישובים!$D$22,9*12,'מודל כלכלי'!$C$55),-3))+(-'מודל כלכלי'!$C$45)+(-MAX(0,(IF('מודל כלכלי'!$C$26="פליפ",((-PV(חישובים!$D$21/12,(('הנחות עסקה'!$D$72*'הנחות עסקה'!$I$70)/365*12),(-FV('מודל כלכלי'!$C$20,(9+(('הנחות עסקה'!$D$71-'הנחות עסקה'!$D$72)*'הנחות עסקה'!$I$70)/365),,'מודל כלכלי'!$C$53))))+((0.07*(ROUND('מודל כלכלי'!$C$59*(1+0.04)^9,-4)))+(0.13*(ROUND('מודל כלכלי'!$C$59*(1+0.04)^9,-4)))+(-PV(חישובים!$D$21,((('הנחות עסקה'!$D$72*'הנחות עסקה'!$I$70)-30)/365),,((0.7*(ROUND('מודל כלכלי'!$C$59*(1+0.04)^9,-4)))+(((('הנחות עסקה'!$D$72*'הנחות עסקה'!$I$70)-30)/365)*חישובים!$D$23*(0.7*(ROUND('מודל כלכלי'!$C$59*(1+0.04)^9,-4)))*0.5))))+(-PV(חישובים!$D$21,(('הנחות עסקה'!$D$72*'הנחות עסקה'!$I$70)/365),,((0.1*(ROUND('מודל כלכלי'!$C$59*(1+0.04)^9,-4)))+((('הנחות עסקה'!$D$72*'הנחות עסקה'!$I$70)/365)*חישובים!$D$23*(0.1*(ROUND('מודל כלכלי'!$C$59*(1+0.04)^9,-4)))*0.5)))))+(-(((0.07*(ROUND('מודל כלכלי'!$C$59*(1+0.04)^9,-4)))+(0.13*(ROUND('מודל כלכלי'!$C$59*(1+0.04)^9,-4)))+(-PV(חישובים!$D$21,((('הנחות עסקה'!$D$72*'הנחות עסקה'!$I$70)-30)/365),,((0.7*(ROUND('מודל כלכלי'!$C$59*(1+0.04)^9,-4)))+(((('הנחות עסקה'!$D$72*'הנחות עסקה'!$I$70)-30)/365)*חישובים!$D$23*(0.7*(ROUND('מודל כלכלי'!$C$59*(1+0.04)^9,-4)))*0.5))))+(-PV(חישובים!$D$21,(('הנחות עסקה'!$D$72*'הנחות עסקה'!$I$70)/365),,((0.1*(ROUND('מודל כלכלי'!$C$59*(1+0.04)^9,-4)))+((('הנחות עסקה'!$D$72*'הנחות עסקה'!$I$70)/365)*חישובים!$D$23*(0.1*(ROUND('מודל כלכלי'!$C$59*(1+0.04)^9,-4)))*0.5)))))+(-PV(חישובים!$D$21/12,(('הנחות עסקה'!$D$72*'הנחות עסקה'!$I$70)/365*12),(-FV('מודל כלכלי'!$C$20,(9+(('הנחות עסקה'!$D$71-'הנחות עסקה'!$D$72)*'הנחות עסקה'!$I$70)/365),,'מודל כלכלי'!$C$53)))))*היוון!$C$26)),ROUND('מודל כלכלי'!$C$59*(1+0.04)^9,-4)))-(חישובים!$D$28*(1+חישובים!$D$29)^9))*0.25),-4))+'מודל כלכלי'!$C$45)/'מודל כלכלי'!$C$45)^(1/9)-1</f>
        <v>0.17151528745591427</v>
      </c>
      <c r="G12" s="59">
        <f>(((ROUND((IF('מודל כלכלי'!$C$26="פליפ",((-PV(חישובים!$D$21/12,(('הנחות עסקה'!$D$72*'הנחות עסקה'!$I$70)/365*12),(-FV('מודל כלכלי'!$C$20,(10+(('הנחות עסקה'!$D$71-'הנחות עסקה'!$D$72)*'הנחות עסקה'!$I$70)/365),,'מודל כלכלי'!$C$53))))+((0.07*(ROUND('מודל כלכלי'!$C$59*(1+0.04)^10,-4)))+(0.13*(ROUND('מודל כלכלי'!$C$59*(1+0.04)^10,-4)))+(-PV(חישובים!$D$21,((('הנחות עסקה'!$D$72*'הנחות עסקה'!$I$70)-30)/365),,((0.7*(ROUND('מודל כלכלי'!$C$59*(1+0.04)^10,-4)))+(((('הנחות עסקה'!$D$72*'הנחות עסקה'!$I$70)-30)/365)*חישובים!$D$23*(0.7*(ROUND('מודל כלכלי'!$C$59*(1+0.04)^10,-4)))*0.5))))+(-PV(חישובים!$D$21,(('הנחות עסקה'!$D$72*'הנחות עסקה'!$I$70)/365),,((0.1*(ROUND('מודל כלכלי'!$C$59*(1+0.04)^10,-4)))+((('הנחות עסקה'!$D$72*'הנחות עסקה'!$I$70)/365)*חישובים!$D$23*(0.1*(ROUND('מודל כלכלי'!$C$59*(1+0.04)^10,-4)))*0.5)))))+(-(((0.07*(ROUND('מודל כלכלי'!$C$59*(1+0.04)^10,-4)))+(0.13*(ROUND('מודל כלכלי'!$C$59*(1+0.04)^10,-4)))+(-PV(חישובים!$D$21,((('הנחות עסקה'!$D$72*'הנחות עסקה'!$I$70)-30)/365),,((0.7*(ROUND('מודל כלכלי'!$C$59*(1+0.04)^10,-4)))+(((('הנחות עסקה'!$D$72*'הנחות עסקה'!$I$70)-30)/365)*חישובים!$D$23*(0.7*(ROUND('מודל כלכלי'!$C$59*(1+0.04)^10,-4)))*0.5))))+(-PV(חישובים!$D$21,(('הנחות עסקה'!$D$72*'הנחות עסקה'!$I$70)/365),,((0.1*(ROUND('מודל כלכלי'!$C$59*(1+0.04)^10,-4)))+((('הנחות עסקה'!$D$72*'הנחות עסקה'!$I$70)/365)*חישובים!$D$23*(0.1*(ROUND('מודל כלכלי'!$C$59*(1+0.04)^10,-4)))*0.5)))))+(-PV(חישובים!$D$21/12,(('הנחות עסקה'!$D$72*'הנחות עסקה'!$I$70)/365*12),(-FV('מודל כלכלי'!$C$20,(10+(('הנחות עסקה'!$D$71-'הנחות עסקה'!$D$72)*'הנחות עסקה'!$I$70)/365),,'מודל כלכלי'!$C$53)))))*היוון!$C$26)),ROUND('מודל כלכלי'!$C$59*(1+0.04)^10,-4)))+(ROUND(FV('מודל כלכלי'!$C$17/12,10*12,'מודל כלכלי'!$C$48,'מודל כלכלי'!$C$46),-4))+(ROUND(-'מודל כלכלי'!$C$66*(IF('מודל כלכלי'!$C$26="פליפ",((-PV(חישובים!$D$21/12,(('הנחות עסקה'!$D$72*'הנחות עסקה'!$I$70)/365*12),(-FV('מודל כלכלי'!$C$20,(10+(('הנחות עסקה'!$D$71-'הנחות עסקה'!$D$72)*'הנחות עסקה'!$I$70)/365),,'מודל כלכלי'!$C$53))))+((0.07*(ROUND('מודל כלכלי'!$C$59*(1+0.04)^10,-4)))+(0.13*(ROUND('מודל כלכלי'!$C$59*(1+0.04)^10,-4)))+(-PV(חישובים!$D$21,((('הנחות עסקה'!$D$72*'הנחות עסקה'!$I$70)-30)/365),,((0.7*(ROUND('מודל כלכלי'!$C$59*(1+0.04)^10,-4)))+(((('הנחות עסקה'!$D$72*'הנחות עסקה'!$I$70)-30)/365)*חישובים!$D$23*(0.7*(ROUND('מודל כלכלי'!$C$59*(1+0.04)^10,-4)))*0.5))))+(-PV(חישובים!$D$21,(('הנחות עסקה'!$D$72*'הנחות עסקה'!$I$70)/365),,((0.1*(ROUND('מודל כלכלי'!$C$59*(1+0.04)^10,-4)))+((('הנחות עסקה'!$D$72*'הנחות עסקה'!$I$70)/365)*חישובים!$D$23*(0.1*(ROUND('מודל כלכלי'!$C$59*(1+0.04)^10,-4)))*0.5)))))+(-(((0.07*(ROUND('מודל כלכלי'!$C$59*(1+0.04)^10,-4)))+(0.13*(ROUND('מודל כלכלי'!$C$59*(1+0.04)^10,-4)))+(-PV(חישובים!$D$21,((('הנחות עסקה'!$D$72*'הנחות עסקה'!$I$70)-30)/365),,((0.7*(ROUND('מודל כלכלי'!$C$59*(1+0.04)^10,-4)))+(((('הנחות עסקה'!$D$72*'הנחות עסקה'!$I$70)-30)/365)*חישובים!$D$23*(0.7*(ROUND('מודל כלכלי'!$C$59*(1+0.04)^10,-4)))*0.5))))+(-PV(חישובים!$D$21,(('הנחות עסקה'!$D$72*'הנחות עסקה'!$I$70)/365),,((0.1*(ROUND('מודל כלכלי'!$C$59*(1+0.04)^10,-4)))+((('הנחות עסקה'!$D$72*'הנחות עסקה'!$I$70)/365)*חישובים!$D$23*(0.1*(ROUND('מודל כלכלי'!$C$59*(1+0.04)^10,-4)))*0.5)))))+(-PV(חישובים!$D$21/12,(('הנחות עסקה'!$D$72*'הנחות עסקה'!$I$70)/365*12),(-FV('מודל כלכלי'!$C$20,(10+(('הנחות עסקה'!$D$71-'הנחות עסקה'!$D$72)*'הנחות עסקה'!$I$70)/365),,'מודל כלכלי'!$C$53)))))*היוון!$C$26)),ROUND('מודל כלכלי'!$C$59*(1+0.04)^10,-4)))*'מודל כלכלי'!$C$14-'מודל כלכלי'!$C$68*(IF('מודל כלכלי'!$C$26="פליפ",((-PV(חישובים!$D$21/12,(('הנחות עסקה'!$D$72*'הנחות עסקה'!$I$70)/365*12),(-FV('מודל כלכלי'!$C$20,(10+(('הנחות עסקה'!$D$71-'הנחות עסקה'!$D$72)*'הנחות עסקה'!$I$70)/365),,'מודל כלכלי'!$C$53))))+((0.07*(ROUND('מודל כלכלי'!$C$59*(1+0.04)^10,-4)))+(0.13*(ROUND('מודל כלכלי'!$C$59*(1+0.04)^10,-4)))+(-PV(חישובים!$D$21,((('הנחות עסקה'!$D$72*'הנחות עסקה'!$I$70)-30)/365),,((0.7*(ROUND('מודל כלכלי'!$C$59*(1+0.04)^10,-4)))+(((('הנחות עסקה'!$D$72*'הנחות עסקה'!$I$70)-30)/365)*חישובים!$D$23*(0.7*(ROUND('מודל כלכלי'!$C$59*(1+0.04)^10,-4)))*0.5))))+(-PV(חישובים!$D$21,(('הנחות עסקה'!$D$72*'הנחות עסקה'!$I$70)/365),,((0.1*(ROUND('מודל כלכלי'!$C$59*(1+0.04)^10,-4)))+((('הנחות עסקה'!$D$72*'הנחות עסקה'!$I$70)/365)*חישובים!$D$23*(0.1*(ROUND('מודל כלכלי'!$C$59*(1+0.04)^10,-4)))*0.5)))))+(-(((0.07*(ROUND('מודל כלכלי'!$C$59*(1+0.04)^10,-4)))+(0.13*(ROUND('מודל כלכלי'!$C$59*(1+0.04)^10,-4)))+(-PV(חישובים!$D$21,((('הנחות עסקה'!$D$72*'הנחות עסקה'!$I$70)-30)/365),,((0.7*(ROUND('מודל כלכלי'!$C$59*(1+0.04)^10,-4)))+(((('הנחות עסקה'!$D$72*'הנחות עסקה'!$I$70)-30)/365)*חישובים!$D$23*(0.7*(ROUND('מודל כלכלי'!$C$59*(1+0.04)^10,-4)))*0.5))))+(-PV(חישובים!$D$21,(('הנחות עסקה'!$D$72*'הנחות עסקה'!$I$70)/365),,((0.1*(ROUND('מודל כלכלי'!$C$59*(1+0.04)^10,-4)))+((('הנחות עסקה'!$D$72*'הנחות עסקה'!$I$70)/365)*חישובים!$D$23*(0.1*(ROUND('מודל כלכלי'!$C$59*(1+0.04)^10,-4)))*0.5)))))+(-PV(חישובים!$D$21/12,(('הנחות עסקה'!$D$72*'הנחות עסקה'!$I$70)/365*12),(-FV('מודל כלכלי'!$C$20,(10+(('הנחות עסקה'!$D$71-'הנחות עסקה'!$D$72)*'הנחות עסקה'!$I$70)/365),,'מודל כלכלי'!$C$53)))))*היוון!$C$26)),ROUND('מודל כלכלי'!$C$59*(1+0.04)^10,-4)))*'מודל כלכלי'!$C$14+'מודל כלכלי'!$C$70,-3))+(ROUND(-FV(חישובים!$D$22,10*12,'מודל כלכלי'!$C$55),-3))+(-'מודל כלכלי'!$C$45)+(-MAX(0,(IF('מודל כלכלי'!$C$26="פליפ",((-PV(חישובים!$D$21/12,(('הנחות עסקה'!$D$72*'הנחות עסקה'!$I$70)/365*12),(-FV('מודל כלכלי'!$C$20,(10+(('הנחות עסקה'!$D$71-'הנחות עסקה'!$D$72)*'הנחות עסקה'!$I$70)/365),,'מודל כלכלי'!$C$53))))+((0.07*(ROUND('מודל כלכלי'!$C$59*(1+0.04)^10,-4)))+(0.13*(ROUND('מודל כלכלי'!$C$59*(1+0.04)^10,-4)))+(-PV(חישובים!$D$21,((('הנחות עסקה'!$D$72*'הנחות עסקה'!$I$70)-30)/365),,((0.7*(ROUND('מודל כלכלי'!$C$59*(1+0.04)^10,-4)))+(((('הנחות עסקה'!$D$72*'הנחות עסקה'!$I$70)-30)/365)*חישובים!$D$23*(0.7*(ROUND('מודל כלכלי'!$C$59*(1+0.04)^10,-4)))*0.5))))+(-PV(חישובים!$D$21,(('הנחות עסקה'!$D$72*'הנחות עסקה'!$I$70)/365),,((0.1*(ROUND('מודל כלכלי'!$C$59*(1+0.04)^10,-4)))+((('הנחות עסקה'!$D$72*'הנחות עסקה'!$I$70)/365)*חישובים!$D$23*(0.1*(ROUND('מודל כלכלי'!$C$59*(1+0.04)^10,-4)))*0.5)))))+(-(((0.07*(ROUND('מודל כלכלי'!$C$59*(1+0.04)^10,-4)))+(0.13*(ROUND('מודל כלכלי'!$C$59*(1+0.04)^10,-4)))+(-PV(חישובים!$D$21,((('הנחות עסקה'!$D$72*'הנחות עסקה'!$I$70)-30)/365),,((0.7*(ROUND('מודל כלכלי'!$C$59*(1+0.04)^10,-4)))+(((('הנחות עסקה'!$D$72*'הנחות עסקה'!$I$70)-30)/365)*חישובים!$D$23*(0.7*(ROUND('מודל כלכלי'!$C$59*(1+0.04)^10,-4)))*0.5))))+(-PV(חישובים!$D$21,(('הנחות עסקה'!$D$72*'הנחות עסקה'!$I$70)/365),,((0.1*(ROUND('מודל כלכלי'!$C$59*(1+0.04)^10,-4)))+((('הנחות עסקה'!$D$72*'הנחות עסקה'!$I$70)/365)*חישובים!$D$23*(0.1*(ROUND('מודל כלכלי'!$C$59*(1+0.04)^10,-4)))*0.5)))))+(-PV(חישובים!$D$21/12,(('הנחות עסקה'!$D$72*'הנחות עסקה'!$I$70)/365*12),(-FV('מודל כלכלי'!$C$20,(10+(('הנחות עסקה'!$D$71-'הנחות עסקה'!$D$72)*'הנחות עסקה'!$I$70)/365),,'מודל כלכלי'!$C$53)))))*היוון!$C$26)),ROUND('מודל כלכלי'!$C$59*(1+0.04)^10,-4)))-(חישובים!$D$28*(1+חישובים!$D$29)^10))*0.25),-4))+'מודל כלכלי'!$C$45)/'מודל כלכלי'!$C$45)^(1/10)-1</f>
        <v>0.15968175951800734</v>
      </c>
      <c r="H12" s="59">
        <f>(((ROUND((IF('מודל כלכלי'!$C$26="פליפ",((-PV(חישובים!$D$21/12,(('הנחות עסקה'!$D$72*'הנחות עסקה'!$I$70)/365*12),(-FV('מודל כלכלי'!$C$20,(11+(('הנחות עסקה'!$D$71-'הנחות עסקה'!$D$72)*'הנחות עסקה'!$I$70)/365),,'מודל כלכלי'!$C$53))))+((0.07*(ROUND('מודל כלכלי'!$C$59*(1+0.04)^11,-4)))+(0.13*(ROUND('מודל כלכלי'!$C$59*(1+0.04)^11,-4)))+(-PV(חישובים!$D$21,((('הנחות עסקה'!$D$72*'הנחות עסקה'!$I$70)-30)/365),,((0.7*(ROUND('מודל כלכלי'!$C$59*(1+0.04)^11,-4)))+(((('הנחות עסקה'!$D$72*'הנחות עסקה'!$I$70)-30)/365)*חישובים!$D$23*(0.7*(ROUND('מודל כלכלי'!$C$59*(1+0.04)^11,-4)))*0.5))))+(-PV(חישובים!$D$21,(('הנחות עסקה'!$D$72*'הנחות עסקה'!$I$70)/365),,((0.1*(ROUND('מודל כלכלי'!$C$59*(1+0.04)^11,-4)))+((('הנחות עסקה'!$D$72*'הנחות עסקה'!$I$70)/365)*חישובים!$D$23*(0.1*(ROUND('מודל כלכלי'!$C$59*(1+0.04)^11,-4)))*0.5)))))+(-(((0.07*(ROUND('מודל כלכלי'!$C$59*(1+0.04)^11,-4)))+(0.13*(ROUND('מודל כלכלי'!$C$59*(1+0.04)^11,-4)))+(-PV(חישובים!$D$21,((('הנחות עסקה'!$D$72*'הנחות עסקה'!$I$70)-30)/365),,((0.7*(ROUND('מודל כלכלי'!$C$59*(1+0.04)^11,-4)))+(((('הנחות עסקה'!$D$72*'הנחות עסקה'!$I$70)-30)/365)*חישובים!$D$23*(0.7*(ROUND('מודל כלכלי'!$C$59*(1+0.04)^11,-4)))*0.5))))+(-PV(חישובים!$D$21,(('הנחות עסקה'!$D$72*'הנחות עסקה'!$I$70)/365),,((0.1*(ROUND('מודל כלכלי'!$C$59*(1+0.04)^11,-4)))+((('הנחות עסקה'!$D$72*'הנחות עסקה'!$I$70)/365)*חישובים!$D$23*(0.1*(ROUND('מודל כלכלי'!$C$59*(1+0.04)^11,-4)))*0.5)))))+(-PV(חישובים!$D$21/12,(('הנחות עסקה'!$D$72*'הנחות עסקה'!$I$70)/365*12),(-FV('מודל כלכלי'!$C$20,(11+(('הנחות עסקה'!$D$71-'הנחות עסקה'!$D$72)*'הנחות עסקה'!$I$70)/365),,'מודל כלכלי'!$C$53)))))*היוון!$C$26)),ROUND('מודל כלכלי'!$C$59*(1+0.04)^11,-4)))+(ROUND(FV('מודל כלכלי'!$C$17/12,11*12,'מודל כלכלי'!$C$48,'מודל כלכלי'!$C$46),-4))+(ROUND(-'מודל כלכלי'!$C$66*(IF('מודל כלכלי'!$C$26="פליפ",((-PV(חישובים!$D$21/12,(('הנחות עסקה'!$D$72*'הנחות עסקה'!$I$70)/365*12),(-FV('מודל כלכלי'!$C$20,(11+(('הנחות עסקה'!$D$71-'הנחות עסקה'!$D$72)*'הנחות עסקה'!$I$70)/365),,'מודל כלכלי'!$C$53))))+((0.07*(ROUND('מודל כלכלי'!$C$59*(1+0.04)^11,-4)))+(0.13*(ROUND('מודל כלכלי'!$C$59*(1+0.04)^11,-4)))+(-PV(חישובים!$D$21,((('הנחות עסקה'!$D$72*'הנחות עסקה'!$I$70)-30)/365),,((0.7*(ROUND('מודל כלכלי'!$C$59*(1+0.04)^11,-4)))+(((('הנחות עסקה'!$D$72*'הנחות עסקה'!$I$70)-30)/365)*חישובים!$D$23*(0.7*(ROUND('מודל כלכלי'!$C$59*(1+0.04)^11,-4)))*0.5))))+(-PV(חישובים!$D$21,(('הנחות עסקה'!$D$72*'הנחות עסקה'!$I$70)/365),,((0.1*(ROUND('מודל כלכלי'!$C$59*(1+0.04)^11,-4)))+((('הנחות עסקה'!$D$72*'הנחות עסקה'!$I$70)/365)*חישובים!$D$23*(0.1*(ROUND('מודל כלכלי'!$C$59*(1+0.04)^11,-4)))*0.5)))))+(-(((0.07*(ROUND('מודל כלכלי'!$C$59*(1+0.04)^11,-4)))+(0.13*(ROUND('מודל כלכלי'!$C$59*(1+0.04)^11,-4)))+(-PV(חישובים!$D$21,((('הנחות עסקה'!$D$72*'הנחות עסקה'!$I$70)-30)/365),,((0.7*(ROUND('מודל כלכלי'!$C$59*(1+0.04)^11,-4)))+(((('הנחות עסקה'!$D$72*'הנחות עסקה'!$I$70)-30)/365)*חישובים!$D$23*(0.7*(ROUND('מודל כלכלי'!$C$59*(1+0.04)^11,-4)))*0.5))))+(-PV(חישובים!$D$21,(('הנחות עסקה'!$D$72*'הנחות עסקה'!$I$70)/365),,((0.1*(ROUND('מודל כלכלי'!$C$59*(1+0.04)^11,-4)))+((('הנחות עסקה'!$D$72*'הנחות עסקה'!$I$70)/365)*חישובים!$D$23*(0.1*(ROUND('מודל כלכלי'!$C$59*(1+0.04)^11,-4)))*0.5)))))+(-PV(חישובים!$D$21/12,(('הנחות עסקה'!$D$72*'הנחות עסקה'!$I$70)/365*12),(-FV('מודל כלכלי'!$C$20,(11+(('הנחות עסקה'!$D$71-'הנחות עסקה'!$D$72)*'הנחות עסקה'!$I$70)/365),,'מודל כלכלי'!$C$53)))))*היוון!$C$26)),ROUND('מודל כלכלי'!$C$59*(1+0.04)^11,-4)))*'מודל כלכלי'!$C$14-'מודל כלכלי'!$C$68*(IF('מודל כלכלי'!$C$26="פליפ",((-PV(חישובים!$D$21/12,(('הנחות עסקה'!$D$72*'הנחות עסקה'!$I$70)/365*12),(-FV('מודל כלכלי'!$C$20,(11+(('הנחות עסקה'!$D$71-'הנחות עסקה'!$D$72)*'הנחות עסקה'!$I$70)/365),,'מודל כלכלי'!$C$53))))+((0.07*(ROUND('מודל כלכלי'!$C$59*(1+0.04)^11,-4)))+(0.13*(ROUND('מודל כלכלי'!$C$59*(1+0.04)^11,-4)))+(-PV(חישובים!$D$21,((('הנחות עסקה'!$D$72*'הנחות עסקה'!$I$70)-30)/365),,((0.7*(ROUND('מודל כלכלי'!$C$59*(1+0.04)^11,-4)))+(((('הנחות עסקה'!$D$72*'הנחות עסקה'!$I$70)-30)/365)*חישובים!$D$23*(0.7*(ROUND('מודל כלכלי'!$C$59*(1+0.04)^11,-4)))*0.5))))+(-PV(חישובים!$D$21,(('הנחות עסקה'!$D$72*'הנחות עסקה'!$I$70)/365),,((0.1*(ROUND('מודל כלכלי'!$C$59*(1+0.04)^11,-4)))+((('הנחות עסקה'!$D$72*'הנחות עסקה'!$I$70)/365)*חישובים!$D$23*(0.1*(ROUND('מודל כלכלי'!$C$59*(1+0.04)^11,-4)))*0.5)))))+(-(((0.07*(ROUND('מודל כלכלי'!$C$59*(1+0.04)^11,-4)))+(0.13*(ROUND('מודל כלכלי'!$C$59*(1+0.04)^11,-4)))+(-PV(חישובים!$D$21,((('הנחות עסקה'!$D$72*'הנחות עסקה'!$I$70)-30)/365),,((0.7*(ROUND('מודל כלכלי'!$C$59*(1+0.04)^11,-4)))+(((('הנחות עסקה'!$D$72*'הנחות עסקה'!$I$70)-30)/365)*חישובים!$D$23*(0.7*(ROUND('מודל כלכלי'!$C$59*(1+0.04)^11,-4)))*0.5))))+(-PV(חישובים!$D$21,(('הנחות עסקה'!$D$72*'הנחות עסקה'!$I$70)/365),,((0.1*(ROUND('מודל כלכלי'!$C$59*(1+0.04)^11,-4)))+((('הנחות עסקה'!$D$72*'הנחות עסקה'!$I$70)/365)*חישובים!$D$23*(0.1*(ROUND('מודל כלכלי'!$C$59*(1+0.04)^11,-4)))*0.5)))))+(-PV(חישובים!$D$21/12,(('הנחות עסקה'!$D$72*'הנחות עסקה'!$I$70)/365*12),(-FV('מודל כלכלי'!$C$20,(11+(('הנחות עסקה'!$D$71-'הנחות עסקה'!$D$72)*'הנחות עסקה'!$I$70)/365),,'מודל כלכלי'!$C$53)))))*היוון!$C$26)),ROUND('מודל כלכלי'!$C$59*(1+0.04)^11,-4)))*'מודל כלכלי'!$C$14+'מודל כלכלי'!$C$70,-3))+(ROUND(-FV(חישובים!$D$22,11*12,'מודל כלכלי'!$C$55),-3))+(-'מודל כלכלי'!$C$45)+(-MAX(0,(IF('מודל כלכלי'!$C$26="פליפ",((-PV(חישובים!$D$21/12,(('הנחות עסקה'!$D$72*'הנחות עסקה'!$I$70)/365*12),(-FV('מודל כלכלי'!$C$20,(11+(('הנחות עסקה'!$D$71-'הנחות עסקה'!$D$72)*'הנחות עסקה'!$I$70)/365),,'מודל כלכלי'!$C$53))))+((0.07*(ROUND('מודל כלכלי'!$C$59*(1+0.04)^11,-4)))+(0.13*(ROUND('מודל כלכלי'!$C$59*(1+0.04)^11,-4)))+(-PV(חישובים!$D$21,((('הנחות עסקה'!$D$72*'הנחות עסקה'!$I$70)-30)/365),,((0.7*(ROUND('מודל כלכלי'!$C$59*(1+0.04)^11,-4)))+(((('הנחות עסקה'!$D$72*'הנחות עסקה'!$I$70)-30)/365)*חישובים!$D$23*(0.7*(ROUND('מודל כלכלי'!$C$59*(1+0.04)^11,-4)))*0.5))))+(-PV(חישובים!$D$21,(('הנחות עסקה'!$D$72*'הנחות עסקה'!$I$70)/365),,((0.1*(ROUND('מודל כלכלי'!$C$59*(1+0.04)^11,-4)))+((('הנחות עסקה'!$D$72*'הנחות עסקה'!$I$70)/365)*חישובים!$D$23*(0.1*(ROUND('מודל כלכלי'!$C$59*(1+0.04)^11,-4)))*0.5)))))+(-(((0.07*(ROUND('מודל כלכלי'!$C$59*(1+0.04)^11,-4)))+(0.13*(ROUND('מודל כלכלי'!$C$59*(1+0.04)^11,-4)))+(-PV(חישובים!$D$21,((('הנחות עסקה'!$D$72*'הנחות עסקה'!$I$70)-30)/365),,((0.7*(ROUND('מודל כלכלי'!$C$59*(1+0.04)^11,-4)))+(((('הנחות עסקה'!$D$72*'הנחות עסקה'!$I$70)-30)/365)*חישובים!$D$23*(0.7*(ROUND('מודל כלכלי'!$C$59*(1+0.04)^11,-4)))*0.5))))+(-PV(חישובים!$D$21,(('הנחות עסקה'!$D$72*'הנחות עסקה'!$I$70)/365),,((0.1*(ROUND('מודל כלכלי'!$C$59*(1+0.04)^11,-4)))+((('הנחות עסקה'!$D$72*'הנחות עסקה'!$I$70)/365)*חישובים!$D$23*(0.1*(ROUND('מודל כלכלי'!$C$59*(1+0.04)^11,-4)))*0.5)))))+(-PV(חישובים!$D$21/12,(('הנחות עסקה'!$D$72*'הנחות עסקה'!$I$70)/365*12),(-FV('מודל כלכלי'!$C$20,(11+(('הנחות עסקה'!$D$71-'הנחות עסקה'!$D$72)*'הנחות עסקה'!$I$70)/365),,'מודל כלכלי'!$C$53)))))*היוון!$C$26)),ROUND('מודל כלכלי'!$C$59*(1+0.04)^11,-4)))-(חישובים!$D$28*(1+חישובים!$D$29)^11))*0.25),-4))+'מודל כלכלי'!$C$45)/'מודל כלכלי'!$C$45)^(1/11)-1</f>
        <v>0.14942760170306402</v>
      </c>
      <c r="I12" s="59">
        <f>(((ROUND((IF('מודל כלכלי'!$C$26="פליפ",((-PV(חישובים!$D$21/12,(('הנחות עסקה'!$D$72*'הנחות עסקה'!$I$70)/365*12),(-FV('מודל כלכלי'!$C$20,(12+(('הנחות עסקה'!$D$71-'הנחות עסקה'!$D$72)*'הנחות עסקה'!$I$70)/365),,'מודל כלכלי'!$C$53))))+((0.07*(ROUND('מודל כלכלי'!$C$59*(1+0.04)^12,-4)))+(0.13*(ROUND('מודל כלכלי'!$C$59*(1+0.04)^12,-4)))+(-PV(חישובים!$D$21,((('הנחות עסקה'!$D$72*'הנחות עסקה'!$I$70)-30)/365),,((0.7*(ROUND('מודל כלכלי'!$C$59*(1+0.04)^12,-4)))+(((('הנחות עסקה'!$D$72*'הנחות עסקה'!$I$70)-30)/365)*חישובים!$D$23*(0.7*(ROUND('מודל כלכלי'!$C$59*(1+0.04)^12,-4)))*0.5))))+(-PV(חישובים!$D$21,(('הנחות עסקה'!$D$72*'הנחות עסקה'!$I$70)/365),,((0.1*(ROUND('מודל כלכלי'!$C$59*(1+0.04)^12,-4)))+((('הנחות עסקה'!$D$72*'הנחות עסקה'!$I$70)/365)*חישובים!$D$23*(0.1*(ROUND('מודל כלכלי'!$C$59*(1+0.04)^12,-4)))*0.5)))))+(-(((0.07*(ROUND('מודל כלכלי'!$C$59*(1+0.04)^12,-4)))+(0.13*(ROUND('מודל כלכלי'!$C$59*(1+0.04)^12,-4)))+(-PV(חישובים!$D$21,((('הנחות עסקה'!$D$72*'הנחות עסקה'!$I$70)-30)/365),,((0.7*(ROUND('מודל כלכלי'!$C$59*(1+0.04)^12,-4)))+(((('הנחות עסקה'!$D$72*'הנחות עסקה'!$I$70)-30)/365)*חישובים!$D$23*(0.7*(ROUND('מודל כלכלי'!$C$59*(1+0.04)^12,-4)))*0.5))))+(-PV(חישובים!$D$21,(('הנחות עסקה'!$D$72*'הנחות עסקה'!$I$70)/365),,((0.1*(ROUND('מודל כלכלי'!$C$59*(1+0.04)^12,-4)))+((('הנחות עסקה'!$D$72*'הנחות עסקה'!$I$70)/365)*חישובים!$D$23*(0.1*(ROUND('מודל כלכלי'!$C$59*(1+0.04)^12,-4)))*0.5)))))+(-PV(חישובים!$D$21/12,(('הנחות עסקה'!$D$72*'הנחות עסקה'!$I$70)/365*12),(-FV('מודל כלכלי'!$C$20,(12+(('הנחות עסקה'!$D$71-'הנחות עסקה'!$D$72)*'הנחות עסקה'!$I$70)/365),,'מודל כלכלי'!$C$53)))))*היוון!$C$26)),ROUND('מודל כלכלי'!$C$59*(1+0.04)^12,-4)))+(ROUND(FV('מודל כלכלי'!$C$17/12,12*12,'מודל כלכלי'!$C$48,'מודל כלכלי'!$C$46),-4))+(ROUND(-'מודל כלכלי'!$C$66*(IF('מודל כלכלי'!$C$26="פליפ",((-PV(חישובים!$D$21/12,(('הנחות עסקה'!$D$72*'הנחות עסקה'!$I$70)/365*12),(-FV('מודל כלכלי'!$C$20,(12+(('הנחות עסקה'!$D$71-'הנחות עסקה'!$D$72)*'הנחות עסקה'!$I$70)/365),,'מודל כלכלי'!$C$53))))+((0.07*(ROUND('מודל כלכלי'!$C$59*(1+0.04)^12,-4)))+(0.13*(ROUND('מודל כלכלי'!$C$59*(1+0.04)^12,-4)))+(-PV(חישובים!$D$21,((('הנחות עסקה'!$D$72*'הנחות עסקה'!$I$70)-30)/365),,((0.7*(ROUND('מודל כלכלי'!$C$59*(1+0.04)^12,-4)))+(((('הנחות עסקה'!$D$72*'הנחות עסקה'!$I$70)-30)/365)*חישובים!$D$23*(0.7*(ROUND('מודל כלכלי'!$C$59*(1+0.04)^12,-4)))*0.5))))+(-PV(חישובים!$D$21,(('הנחות עסקה'!$D$72*'הנחות עסקה'!$I$70)/365),,((0.1*(ROUND('מודל כלכלי'!$C$59*(1+0.04)^12,-4)))+((('הנחות עסקה'!$D$72*'הנחות עסקה'!$I$70)/365)*חישובים!$D$23*(0.1*(ROUND('מודל כלכלי'!$C$59*(1+0.04)^12,-4)))*0.5)))))+(-(((0.07*(ROUND('מודל כלכלי'!$C$59*(1+0.04)^12,-4)))+(0.13*(ROUND('מודל כלכלי'!$C$59*(1+0.04)^12,-4)))+(-PV(חישובים!$D$21,((('הנחות עסקה'!$D$72*'הנחות עסקה'!$I$70)-30)/365),,((0.7*(ROUND('מודל כלכלי'!$C$59*(1+0.04)^12,-4)))+(((('הנחות עסקה'!$D$72*'הנחות עסקה'!$I$70)-30)/365)*חישובים!$D$23*(0.7*(ROUND('מודל כלכלי'!$C$59*(1+0.04)^12,-4)))*0.5))))+(-PV(חישובים!$D$21,(('הנחות עסקה'!$D$72*'הנחות עסקה'!$I$70)/365),,((0.1*(ROUND('מודל כלכלי'!$C$59*(1+0.04)^12,-4)))+((('הנחות עסקה'!$D$72*'הנחות עסקה'!$I$70)/365)*חישובים!$D$23*(0.1*(ROUND('מודל כלכלי'!$C$59*(1+0.04)^12,-4)))*0.5)))))+(-PV(חישובים!$D$21/12,(('הנחות עסקה'!$D$72*'הנחות עסקה'!$I$70)/365*12),(-FV('מודל כלכלי'!$C$20,(12+(('הנחות עסקה'!$D$71-'הנחות עסקה'!$D$72)*'הנחות עסקה'!$I$70)/365),,'מודל כלכלי'!$C$53)))))*היוון!$C$26)),ROUND('מודל כלכלי'!$C$59*(1+0.04)^12,-4)))*'מודל כלכלי'!$C$14-'מודל כלכלי'!$C$68*(IF('מודל כלכלי'!$C$26="פליפ",((-PV(חישובים!$D$21/12,(('הנחות עסקה'!$D$72*'הנחות עסקה'!$I$70)/365*12),(-FV('מודל כלכלי'!$C$20,(12+(('הנחות עסקה'!$D$71-'הנחות עסקה'!$D$72)*'הנחות עסקה'!$I$70)/365),,'מודל כלכלי'!$C$53))))+((0.07*(ROUND('מודל כלכלי'!$C$59*(1+0.04)^12,-4)))+(0.13*(ROUND('מודל כלכלי'!$C$59*(1+0.04)^12,-4)))+(-PV(חישובים!$D$21,((('הנחות עסקה'!$D$72*'הנחות עסקה'!$I$70)-30)/365),,((0.7*(ROUND('מודל כלכלי'!$C$59*(1+0.04)^12,-4)))+(((('הנחות עסקה'!$D$72*'הנחות עסקה'!$I$70)-30)/365)*חישובים!$D$23*(0.7*(ROUND('מודל כלכלי'!$C$59*(1+0.04)^12,-4)))*0.5))))+(-PV(חישובים!$D$21,(('הנחות עסקה'!$D$72*'הנחות עסקה'!$I$70)/365),,((0.1*(ROUND('מודל כלכלי'!$C$59*(1+0.04)^12,-4)))+((('הנחות עסקה'!$D$72*'הנחות עסקה'!$I$70)/365)*חישובים!$D$23*(0.1*(ROUND('מודל כלכלי'!$C$59*(1+0.04)^12,-4)))*0.5)))))+(-(((0.07*(ROUND('מודל כלכלי'!$C$59*(1+0.04)^12,-4)))+(0.13*(ROUND('מודל כלכלי'!$C$59*(1+0.04)^12,-4)))+(-PV(חישובים!$D$21,((('הנחות עסקה'!$D$72*'הנחות עסקה'!$I$70)-30)/365),,((0.7*(ROUND('מודל כלכלי'!$C$59*(1+0.04)^12,-4)))+(((('הנחות עסקה'!$D$72*'הנחות עסקה'!$I$70)-30)/365)*חישובים!$D$23*(0.7*(ROUND('מודל כלכלי'!$C$59*(1+0.04)^12,-4)))*0.5))))+(-PV(חישובים!$D$21,(('הנחות עסקה'!$D$72*'הנחות עסקה'!$I$70)/365),,((0.1*(ROUND('מודל כלכלי'!$C$59*(1+0.04)^12,-4)))+((('הנחות עסקה'!$D$72*'הנחות עסקה'!$I$70)/365)*חישובים!$D$23*(0.1*(ROUND('מודל כלכלי'!$C$59*(1+0.04)^12,-4)))*0.5)))))+(-PV(חישובים!$D$21/12,(('הנחות עסקה'!$D$72*'הנחות עסקה'!$I$70)/365*12),(-FV('מודל כלכלי'!$C$20,(12+(('הנחות עסקה'!$D$71-'הנחות עסקה'!$D$72)*'הנחות עסקה'!$I$70)/365),,'מודל כלכלי'!$C$53)))))*היוון!$C$26)),ROUND('מודל כלכלי'!$C$59*(1+0.04)^12,-4)))*'מודל כלכלי'!$C$14+'מודל כלכלי'!$C$70,-3))+(ROUND(-FV(חישובים!$D$22,12*12,'מודל כלכלי'!$C$55),-3))+(-'מודל כלכלי'!$C$45)+(-MAX(0,(IF('מודל כלכלי'!$C$26="פליפ",((-PV(חישובים!$D$21/12,(('הנחות עסקה'!$D$72*'הנחות עסקה'!$I$70)/365*12),(-FV('מודל כלכלי'!$C$20,(12+(('הנחות עסקה'!$D$71-'הנחות עסקה'!$D$72)*'הנחות עסקה'!$I$70)/365),,'מודל כלכלי'!$C$53))))+((0.07*(ROUND('מודל כלכלי'!$C$59*(1+0.04)^12,-4)))+(0.13*(ROUND('מודל כלכלי'!$C$59*(1+0.04)^12,-4)))+(-PV(חישובים!$D$21,((('הנחות עסקה'!$D$72*'הנחות עסקה'!$I$70)-30)/365),,((0.7*(ROUND('מודל כלכלי'!$C$59*(1+0.04)^12,-4)))+(((('הנחות עסקה'!$D$72*'הנחות עסקה'!$I$70)-30)/365)*חישובים!$D$23*(0.7*(ROUND('מודל כלכלי'!$C$59*(1+0.04)^12,-4)))*0.5))))+(-PV(חישובים!$D$21,(('הנחות עסקה'!$D$72*'הנחות עסקה'!$I$70)/365),,((0.1*(ROUND('מודל כלכלי'!$C$59*(1+0.04)^12,-4)))+((('הנחות עסקה'!$D$72*'הנחות עסקה'!$I$70)/365)*חישובים!$D$23*(0.1*(ROUND('מודל כלכלי'!$C$59*(1+0.04)^12,-4)))*0.5)))))+(-(((0.07*(ROUND('מודל כלכלי'!$C$59*(1+0.04)^12,-4)))+(0.13*(ROUND('מודל כלכלי'!$C$59*(1+0.04)^12,-4)))+(-PV(חישובים!$D$21,((('הנחות עסקה'!$D$72*'הנחות עסקה'!$I$70)-30)/365),,((0.7*(ROUND('מודל כלכלי'!$C$59*(1+0.04)^12,-4)))+(((('הנחות עסקה'!$D$72*'הנחות עסקה'!$I$70)-30)/365)*חישובים!$D$23*(0.7*(ROUND('מודל כלכלי'!$C$59*(1+0.04)^12,-4)))*0.5))))+(-PV(חישובים!$D$21,(('הנחות עסקה'!$D$72*'הנחות עסקה'!$I$70)/365),,((0.1*(ROUND('מודל כלכלי'!$C$59*(1+0.04)^12,-4)))+((('הנחות עסקה'!$D$72*'הנחות עסקה'!$I$70)/365)*חישובים!$D$23*(0.1*(ROUND('מודל כלכלי'!$C$59*(1+0.04)^12,-4)))*0.5)))))+(-PV(חישובים!$D$21/12,(('הנחות עסקה'!$D$72*'הנחות עסקה'!$I$70)/365*12),(-FV('מודל כלכלי'!$C$20,(12+(('הנחות עסקה'!$D$71-'הנחות עסקה'!$D$72)*'הנחות עסקה'!$I$70)/365),,'מודל כלכלי'!$C$53)))))*היוון!$C$26)),ROUND('מודל כלכלי'!$C$59*(1+0.04)^12,-4)))-(חישובים!$D$28*(1+חישובים!$D$29)^12))*0.25),-4))+'מודל כלכלי'!$C$45)/'מודל כלכלי'!$C$45)^(1/12)-1</f>
        <v>0.14131400729748345</v>
      </c>
      <c r="J12" s="59">
        <f>(((ROUND((IF('מודל כלכלי'!$C$26="פליפ",((-PV(חישובים!$D$21/12,(('הנחות עסקה'!$D$72*'הנחות עסקה'!$I$70)/365*12),(-FV('מודל כלכלי'!$C$20,(13+(('הנחות עסקה'!$D$71-'הנחות עסקה'!$D$72)*'הנחות עסקה'!$I$70)/365),,'מודל כלכלי'!$C$53))))+((0.07*(ROUND('מודל כלכלי'!$C$59*(1+0.04)^13,-4)))+(0.13*(ROUND('מודל כלכלי'!$C$59*(1+0.04)^13,-4)))+(-PV(חישובים!$D$21,((('הנחות עסקה'!$D$72*'הנחות עסקה'!$I$70)-30)/365),,((0.7*(ROUND('מודל כלכלי'!$C$59*(1+0.04)^13,-4)))+(((('הנחות עסקה'!$D$72*'הנחות עסקה'!$I$70)-30)/365)*חישובים!$D$23*(0.7*(ROUND('מודל כלכלי'!$C$59*(1+0.04)^13,-4)))*0.5))))+(-PV(חישובים!$D$21,(('הנחות עסקה'!$D$72*'הנחות עסקה'!$I$70)/365),,((0.1*(ROUND('מודל כלכלי'!$C$59*(1+0.04)^13,-4)))+((('הנחות עסקה'!$D$72*'הנחות עסקה'!$I$70)/365)*חישובים!$D$23*(0.1*(ROUND('מודל כלכלי'!$C$59*(1+0.04)^13,-4)))*0.5)))))+(-(((0.07*(ROUND('מודל כלכלי'!$C$59*(1+0.04)^13,-4)))+(0.13*(ROUND('מודל כלכלי'!$C$59*(1+0.04)^13,-4)))+(-PV(חישובים!$D$21,((('הנחות עסקה'!$D$72*'הנחות עסקה'!$I$70)-30)/365),,((0.7*(ROUND('מודל כלכלי'!$C$59*(1+0.04)^13,-4)))+(((('הנחות עסקה'!$D$72*'הנחות עסקה'!$I$70)-30)/365)*חישובים!$D$23*(0.7*(ROUND('מודל כלכלי'!$C$59*(1+0.04)^13,-4)))*0.5))))+(-PV(חישובים!$D$21,(('הנחות עסקה'!$D$72*'הנחות עסקה'!$I$70)/365),,((0.1*(ROUND('מודל כלכלי'!$C$59*(1+0.04)^13,-4)))+((('הנחות עסקה'!$D$72*'הנחות עסקה'!$I$70)/365)*חישובים!$D$23*(0.1*(ROUND('מודל כלכלי'!$C$59*(1+0.04)^13,-4)))*0.5)))))+(-PV(חישובים!$D$21/12,(('הנחות עסקה'!$D$72*'הנחות עסקה'!$I$70)/365*12),(-FV('מודל כלכלי'!$C$20,(13+(('הנחות עסקה'!$D$71-'הנחות עסקה'!$D$72)*'הנחות עסקה'!$I$70)/365),,'מודל כלכלי'!$C$53)))))*היוון!$C$26)),ROUND('מודל כלכלי'!$C$59*(1+0.04)^13,-4)))+(ROUND(FV('מודל כלכלי'!$C$17/12,13*12,'מודל כלכלי'!$C$48,'מודל כלכלי'!$C$46),-4))+(ROUND(-'מודל כלכלי'!$C$66*(IF('מודל כלכלי'!$C$26="פליפ",((-PV(חישובים!$D$21/12,(('הנחות עסקה'!$D$72*'הנחות עסקה'!$I$70)/365*12),(-FV('מודל כלכלי'!$C$20,(13+(('הנחות עסקה'!$D$71-'הנחות עסקה'!$D$72)*'הנחות עסקה'!$I$70)/365),,'מודל כלכלי'!$C$53))))+((0.07*(ROUND('מודל כלכלי'!$C$59*(1+0.04)^13,-4)))+(0.13*(ROUND('מודל כלכלי'!$C$59*(1+0.04)^13,-4)))+(-PV(חישובים!$D$21,((('הנחות עסקה'!$D$72*'הנחות עסקה'!$I$70)-30)/365),,((0.7*(ROUND('מודל כלכלי'!$C$59*(1+0.04)^13,-4)))+(((('הנחות עסקה'!$D$72*'הנחות עסקה'!$I$70)-30)/365)*חישובים!$D$23*(0.7*(ROUND('מודל כלכלי'!$C$59*(1+0.04)^13,-4)))*0.5))))+(-PV(חישובים!$D$21,(('הנחות עסקה'!$D$72*'הנחות עסקה'!$I$70)/365),,((0.1*(ROUND('מודל כלכלי'!$C$59*(1+0.04)^13,-4)))+((('הנחות עסקה'!$D$72*'הנחות עסקה'!$I$70)/365)*חישובים!$D$23*(0.1*(ROUND('מודל כלכלי'!$C$59*(1+0.04)^13,-4)))*0.5)))))+(-(((0.07*(ROUND('מודל כלכלי'!$C$59*(1+0.04)^13,-4)))+(0.13*(ROUND('מודל כלכלי'!$C$59*(1+0.04)^13,-4)))+(-PV(חישובים!$D$21,((('הנחות עסקה'!$D$72*'הנחות עסקה'!$I$70)-30)/365),,((0.7*(ROUND('מודל כלכלי'!$C$59*(1+0.04)^13,-4)))+(((('הנחות עסקה'!$D$72*'הנחות עסקה'!$I$70)-30)/365)*חישובים!$D$23*(0.7*(ROUND('מודל כלכלי'!$C$59*(1+0.04)^13,-4)))*0.5))))+(-PV(חישובים!$D$21,(('הנחות עסקה'!$D$72*'הנחות עסקה'!$I$70)/365),,((0.1*(ROUND('מודל כלכלי'!$C$59*(1+0.04)^13,-4)))+((('הנחות עסקה'!$D$72*'הנחות עסקה'!$I$70)/365)*חישובים!$D$23*(0.1*(ROUND('מודל כלכלי'!$C$59*(1+0.04)^13,-4)))*0.5)))))+(-PV(חישובים!$D$21/12,(('הנחות עסקה'!$D$72*'הנחות עסקה'!$I$70)/365*12),(-FV('מודל כלכלי'!$C$20,(13+(('הנחות עסקה'!$D$71-'הנחות עסקה'!$D$72)*'הנחות עסקה'!$I$70)/365),,'מודל כלכלי'!$C$53)))))*היוון!$C$26)),ROUND('מודל כלכלי'!$C$59*(1+0.04)^13,-4)))*'מודל כלכלי'!$C$14-'מודל כלכלי'!$C$68*(IF('מודל כלכלי'!$C$26="פליפ",((-PV(חישובים!$D$21/12,(('הנחות עסקה'!$D$72*'הנחות עסקה'!$I$70)/365*12),(-FV('מודל כלכלי'!$C$20,(13+(('הנחות עסקה'!$D$71-'הנחות עסקה'!$D$72)*'הנחות עסקה'!$I$70)/365),,'מודל כלכלי'!$C$53))))+((0.07*(ROUND('מודל כלכלי'!$C$59*(1+0.04)^13,-4)))+(0.13*(ROUND('מודל כלכלי'!$C$59*(1+0.04)^13,-4)))+(-PV(חישובים!$D$21,((('הנחות עסקה'!$D$72*'הנחות עסקה'!$I$70)-30)/365),,((0.7*(ROUND('מודל כלכלי'!$C$59*(1+0.04)^13,-4)))+(((('הנחות עסקה'!$D$72*'הנחות עסקה'!$I$70)-30)/365)*חישובים!$D$23*(0.7*(ROUND('מודל כלכלי'!$C$59*(1+0.04)^13,-4)))*0.5))))+(-PV(חישובים!$D$21,(('הנחות עסקה'!$D$72*'הנחות עסקה'!$I$70)/365),,((0.1*(ROUND('מודל כלכלי'!$C$59*(1+0.04)^13,-4)))+((('הנחות עסקה'!$D$72*'הנחות עסקה'!$I$70)/365)*חישובים!$D$23*(0.1*(ROUND('מודל כלכלי'!$C$59*(1+0.04)^13,-4)))*0.5)))))+(-(((0.07*(ROUND('מודל כלכלי'!$C$59*(1+0.04)^13,-4)))+(0.13*(ROUND('מודל כלכלי'!$C$59*(1+0.04)^13,-4)))+(-PV(חישובים!$D$21,((('הנחות עסקה'!$D$72*'הנחות עסקה'!$I$70)-30)/365),,((0.7*(ROUND('מודל כלכלי'!$C$59*(1+0.04)^13,-4)))+(((('הנחות עסקה'!$D$72*'הנחות עסקה'!$I$70)-30)/365)*חישובים!$D$23*(0.7*(ROUND('מודל כלכלי'!$C$59*(1+0.04)^13,-4)))*0.5))))+(-PV(חישובים!$D$21,(('הנחות עסקה'!$D$72*'הנחות עסקה'!$I$70)/365),,((0.1*(ROUND('מודל כלכלי'!$C$59*(1+0.04)^13,-4)))+((('הנחות עסקה'!$D$72*'הנחות עסקה'!$I$70)/365)*חישובים!$D$23*(0.1*(ROUND('מודל כלכלי'!$C$59*(1+0.04)^13,-4)))*0.5)))))+(-PV(חישובים!$D$21/12,(('הנחות עסקה'!$D$72*'הנחות עסקה'!$I$70)/365*12),(-FV('מודל כלכלי'!$C$20,(13+(('הנחות עסקה'!$D$71-'הנחות עסקה'!$D$72)*'הנחות עסקה'!$I$70)/365),,'מודל כלכלי'!$C$53)))))*היוון!$C$26)),ROUND('מודל כלכלי'!$C$59*(1+0.04)^13,-4)))*'מודל כלכלי'!$C$14+'מודל כלכלי'!$C$70,-3))+(ROUND(-FV(חישובים!$D$22,13*12,'מודל כלכלי'!$C$55),-3))+(-'מודל כלכלי'!$C$45)+(-MAX(0,(IF('מודל כלכלי'!$C$26="פליפ",((-PV(חישובים!$D$21/12,(('הנחות עסקה'!$D$72*'הנחות עסקה'!$I$70)/365*12),(-FV('מודל כלכלי'!$C$20,(13+(('הנחות עסקה'!$D$71-'הנחות עסקה'!$D$72)*'הנחות עסקה'!$I$70)/365),,'מודל כלכלי'!$C$53))))+((0.07*(ROUND('מודל כלכלי'!$C$59*(1+0.04)^13,-4)))+(0.13*(ROUND('מודל כלכלי'!$C$59*(1+0.04)^13,-4)))+(-PV(חישובים!$D$21,((('הנחות עסקה'!$D$72*'הנחות עסקה'!$I$70)-30)/365),,((0.7*(ROUND('מודל כלכלי'!$C$59*(1+0.04)^13,-4)))+(((('הנחות עסקה'!$D$72*'הנחות עסקה'!$I$70)-30)/365)*חישובים!$D$23*(0.7*(ROUND('מודל כלכלי'!$C$59*(1+0.04)^13,-4)))*0.5))))+(-PV(חישובים!$D$21,(('הנחות עסקה'!$D$72*'הנחות עסקה'!$I$70)/365),,((0.1*(ROUND('מודל כלכלי'!$C$59*(1+0.04)^13,-4)))+((('הנחות עסקה'!$D$72*'הנחות עסקה'!$I$70)/365)*חישובים!$D$23*(0.1*(ROUND('מודל כלכלי'!$C$59*(1+0.04)^13,-4)))*0.5)))))+(-(((0.07*(ROUND('מודל כלכלי'!$C$59*(1+0.04)^13,-4)))+(0.13*(ROUND('מודל כלכלי'!$C$59*(1+0.04)^13,-4)))+(-PV(חישובים!$D$21,((('הנחות עסקה'!$D$72*'הנחות עסקה'!$I$70)-30)/365),,((0.7*(ROUND('מודל כלכלי'!$C$59*(1+0.04)^13,-4)))+(((('הנחות עסקה'!$D$72*'הנחות עסקה'!$I$70)-30)/365)*חישובים!$D$23*(0.7*(ROUND('מודל כלכלי'!$C$59*(1+0.04)^13,-4)))*0.5))))+(-PV(חישובים!$D$21,(('הנחות עסקה'!$D$72*'הנחות עסקה'!$I$70)/365),,((0.1*(ROUND('מודל כלכלי'!$C$59*(1+0.04)^13,-4)))+((('הנחות עסקה'!$D$72*'הנחות עסקה'!$I$70)/365)*חישובים!$D$23*(0.1*(ROUND('מודל כלכלי'!$C$59*(1+0.04)^13,-4)))*0.5)))))+(-PV(חישובים!$D$21/12,(('הנחות עסקה'!$D$72*'הנחות עסקה'!$I$70)/365*12),(-FV('מודל כלכלי'!$C$20,(13+(('הנחות עסקה'!$D$71-'הנחות עסקה'!$D$72)*'הנחות עסקה'!$I$70)/365),,'מודל כלכלי'!$C$53)))))*היוון!$C$26)),ROUND('מודל כלכלי'!$C$59*(1+0.04)^13,-4)))-(חישובים!$D$28*(1+חישובים!$D$29)^13))*0.25),-4))+'מודל כלכלי'!$C$45)/'מודל כלכלי'!$C$45)^(1/13)-1</f>
        <v>0.13424968978166496</v>
      </c>
    </row>
    <row r="13" spans="2:12" ht="15" customHeight="1">
      <c r="B13" s="74">
        <v>0.05</v>
      </c>
      <c r="C13" s="59">
        <f>(((ROUND((IF('מודל כלכלי'!$C$26="פליפ",((-PV(חישובים!$D$21/12,(('הנחות עסקה'!$D$72*'הנחות עסקה'!$I$70)/365*12),(-FV('מודל כלכלי'!$C$20,(6+(('הנחות עסקה'!$D$71-'הנחות עסקה'!$D$72)*'הנחות עסקה'!$I$70)/365),,'מודל כלכלי'!$C$53))))+((0.07*(ROUND('מודל כלכלי'!$C$59*(1+0.05)^6,-4)))+(0.13*(ROUND('מודל כלכלי'!$C$59*(1+0.05)^6,-4)))+(-PV(חישובים!$D$21,((('הנחות עסקה'!$D$72*'הנחות עסקה'!$I$70)-30)/365),,((0.7*(ROUND('מודל כלכלי'!$C$59*(1+0.05)^6,-4)))+(((('הנחות עסקה'!$D$72*'הנחות עסקה'!$I$70)-30)/365)*חישובים!$D$23*(0.7*(ROUND('מודל כלכלי'!$C$59*(1+0.05)^6,-4)))*0.5))))+(-PV(חישובים!$D$21,(('הנחות עסקה'!$D$72*'הנחות עסקה'!$I$70)/365),,((0.1*(ROUND('מודל כלכלי'!$C$59*(1+0.05)^6,-4)))+((('הנחות עסקה'!$D$72*'הנחות עסקה'!$I$70)/365)*חישובים!$D$23*(0.1*(ROUND('מודל כלכלי'!$C$59*(1+0.05)^6,-4)))*0.5)))))+(-(((0.07*(ROUND('מודל כלכלי'!$C$59*(1+0.05)^6,-4)))+(0.13*(ROUND('מודל כלכלי'!$C$59*(1+0.05)^6,-4)))+(-PV(חישובים!$D$21,((('הנחות עסקה'!$D$72*'הנחות עסקה'!$I$70)-30)/365),,((0.7*(ROUND('מודל כלכלי'!$C$59*(1+0.05)^6,-4)))+(((('הנחות עסקה'!$D$72*'הנחות עסקה'!$I$70)-30)/365)*חישובים!$D$23*(0.7*(ROUND('מודל כלכלי'!$C$59*(1+0.05)^6,-4)))*0.5))))+(-PV(חישובים!$D$21,(('הנחות עסקה'!$D$72*'הנחות עסקה'!$I$70)/365),,((0.1*(ROUND('מודל כלכלי'!$C$59*(1+0.05)^6,-4)))+((('הנחות עסקה'!$D$72*'הנחות עסקה'!$I$70)/365)*חישובים!$D$23*(0.1*(ROUND('מודל כלכלי'!$C$59*(1+0.05)^6,-4)))*0.5)))))+(-PV(חישובים!$D$21/12,(('הנחות עסקה'!$D$72*'הנחות עסקה'!$I$70)/365*12),(-FV('מודל כלכלי'!$C$20,(6+(('הנחות עסקה'!$D$71-'הנחות עסקה'!$D$72)*'הנחות עסקה'!$I$70)/365),,'מודל כלכלי'!$C$53)))))*היוון!$C$26)),ROUND('מודל כלכלי'!$C$59*(1+0.05)^6,-4)))+(ROUND(FV('מודל כלכלי'!$C$17/12,6*12,'מודל כלכלי'!$C$48,'מודל כלכלי'!$C$46),-4))+(ROUND(-'מודל כלכלי'!$C$66*(IF('מודל כלכלי'!$C$26="פליפ",((-PV(חישובים!$D$21/12,(('הנחות עסקה'!$D$72*'הנחות עסקה'!$I$70)/365*12),(-FV('מודל כלכלי'!$C$20,(6+(('הנחות עסקה'!$D$71-'הנחות עסקה'!$D$72)*'הנחות עסקה'!$I$70)/365),,'מודל כלכלי'!$C$53))))+((0.07*(ROUND('מודל כלכלי'!$C$59*(1+0.05)^6,-4)))+(0.13*(ROUND('מודל כלכלי'!$C$59*(1+0.05)^6,-4)))+(-PV(חישובים!$D$21,((('הנחות עסקה'!$D$72*'הנחות עסקה'!$I$70)-30)/365),,((0.7*(ROUND('מודל כלכלי'!$C$59*(1+0.05)^6,-4)))+(((('הנחות עסקה'!$D$72*'הנחות עסקה'!$I$70)-30)/365)*חישובים!$D$23*(0.7*(ROUND('מודל כלכלי'!$C$59*(1+0.05)^6,-4)))*0.5))))+(-PV(חישובים!$D$21,(('הנחות עסקה'!$D$72*'הנחות עסקה'!$I$70)/365),,((0.1*(ROUND('מודל כלכלי'!$C$59*(1+0.05)^6,-4)))+((('הנחות עסקה'!$D$72*'הנחות עסקה'!$I$70)/365)*חישובים!$D$23*(0.1*(ROUND('מודל כלכלי'!$C$59*(1+0.05)^6,-4)))*0.5)))))+(-(((0.07*(ROUND('מודל כלכלי'!$C$59*(1+0.05)^6,-4)))+(0.13*(ROUND('מודל כלכלי'!$C$59*(1+0.05)^6,-4)))+(-PV(חישובים!$D$21,((('הנחות עסקה'!$D$72*'הנחות עסקה'!$I$70)-30)/365),,((0.7*(ROUND('מודל כלכלי'!$C$59*(1+0.05)^6,-4)))+(((('הנחות עסקה'!$D$72*'הנחות עסקה'!$I$70)-30)/365)*חישובים!$D$23*(0.7*(ROUND('מודל כלכלי'!$C$59*(1+0.05)^6,-4)))*0.5))))+(-PV(חישובים!$D$21,(('הנחות עסקה'!$D$72*'הנחות עסקה'!$I$70)/365),,((0.1*(ROUND('מודל כלכלי'!$C$59*(1+0.05)^6,-4)))+((('הנחות עסקה'!$D$72*'הנחות עסקה'!$I$70)/365)*חישובים!$D$23*(0.1*(ROUND('מודל כלכלי'!$C$59*(1+0.05)^6,-4)))*0.5)))))+(-PV(חישובים!$D$21/12,(('הנחות עסקה'!$D$72*'הנחות עסקה'!$I$70)/365*12),(-FV('מודל כלכלי'!$C$20,(6+(('הנחות עסקה'!$D$71-'הנחות עסקה'!$D$72)*'הנחות עסקה'!$I$70)/365),,'מודל כלכלי'!$C$53)))))*היוון!$C$26)),ROUND('מודל כלכלי'!$C$59*(1+0.05)^6,-4)))*'מודל כלכלי'!$C$14-'מודל כלכלי'!$C$68*(IF('מודל כלכלי'!$C$26="פליפ",((-PV(חישובים!$D$21/12,(('הנחות עסקה'!$D$72*'הנחות עסקה'!$I$70)/365*12),(-FV('מודל כלכלי'!$C$20,(6+(('הנחות עסקה'!$D$71-'הנחות עסקה'!$D$72)*'הנחות עסקה'!$I$70)/365),,'מודל כלכלי'!$C$53))))+((0.07*(ROUND('מודל כלכלי'!$C$59*(1+0.05)^6,-4)))+(0.13*(ROUND('מודל כלכלי'!$C$59*(1+0.05)^6,-4)))+(-PV(חישובים!$D$21,((('הנחות עסקה'!$D$72*'הנחות עסקה'!$I$70)-30)/365),,((0.7*(ROUND('מודל כלכלי'!$C$59*(1+0.05)^6,-4)))+(((('הנחות עסקה'!$D$72*'הנחות עסקה'!$I$70)-30)/365)*חישובים!$D$23*(0.7*(ROUND('מודל כלכלי'!$C$59*(1+0.05)^6,-4)))*0.5))))+(-PV(חישובים!$D$21,(('הנחות עסקה'!$D$72*'הנחות עסקה'!$I$70)/365),,((0.1*(ROUND('מודל כלכלי'!$C$59*(1+0.05)^6,-4)))+((('הנחות עסקה'!$D$72*'הנחות עסקה'!$I$70)/365)*חישובים!$D$23*(0.1*(ROUND('מודל כלכלי'!$C$59*(1+0.05)^6,-4)))*0.5)))))+(-(((0.07*(ROUND('מודל כלכלי'!$C$59*(1+0.05)^6,-4)))+(0.13*(ROUND('מודל כלכלי'!$C$59*(1+0.05)^6,-4)))+(-PV(חישובים!$D$21,((('הנחות עסקה'!$D$72*'הנחות עסקה'!$I$70)-30)/365),,((0.7*(ROUND('מודל כלכלי'!$C$59*(1+0.05)^6,-4)))+(((('הנחות עסקה'!$D$72*'הנחות עסקה'!$I$70)-30)/365)*חישובים!$D$23*(0.7*(ROUND('מודל כלכלי'!$C$59*(1+0.05)^6,-4)))*0.5))))+(-PV(חישובים!$D$21,(('הנחות עסקה'!$D$72*'הנחות עסקה'!$I$70)/365),,((0.1*(ROUND('מודל כלכלי'!$C$59*(1+0.05)^6,-4)))+((('הנחות עסקה'!$D$72*'הנחות עסקה'!$I$70)/365)*חישובים!$D$23*(0.1*(ROUND('מודל כלכלי'!$C$59*(1+0.05)^6,-4)))*0.5)))))+(-PV(חישובים!$D$21/12,(('הנחות עסקה'!$D$72*'הנחות עסקה'!$I$70)/365*12),(-FV('מודל כלכלי'!$C$20,(6+(('הנחות עסקה'!$D$71-'הנחות עסקה'!$D$72)*'הנחות עסקה'!$I$70)/365),,'מודל כלכלי'!$C$53)))))*היוון!$C$26)),ROUND('מודל כלכלי'!$C$59*(1+0.05)^6,-4)))*'מודל כלכלי'!$C$14+'מודל כלכלי'!$C$70,-3))+(ROUND(-FV(חישובים!$D$22,6*12,'מודל כלכלי'!$C$55),-3))+(-'מודל כלכלי'!$C$45)+(-MAX(0,(IF('מודל כלכלי'!$C$26="פליפ",((-PV(חישובים!$D$21/12,(('הנחות עסקה'!$D$72*'הנחות עסקה'!$I$70)/365*12),(-FV('מודל כלכלי'!$C$20,(6+(('הנחות עסקה'!$D$71-'הנחות עסקה'!$D$72)*'הנחות עסקה'!$I$70)/365),,'מודל כלכלי'!$C$53))))+((0.07*(ROUND('מודל כלכלי'!$C$59*(1+0.05)^6,-4)))+(0.13*(ROUND('מודל כלכלי'!$C$59*(1+0.05)^6,-4)))+(-PV(חישובים!$D$21,((('הנחות עסקה'!$D$72*'הנחות עסקה'!$I$70)-30)/365),,((0.7*(ROUND('מודל כלכלי'!$C$59*(1+0.05)^6,-4)))+(((('הנחות עסקה'!$D$72*'הנחות עסקה'!$I$70)-30)/365)*חישובים!$D$23*(0.7*(ROUND('מודל כלכלי'!$C$59*(1+0.05)^6,-4)))*0.5))))+(-PV(חישובים!$D$21,(('הנחות עסקה'!$D$72*'הנחות עסקה'!$I$70)/365),,((0.1*(ROUND('מודל כלכלי'!$C$59*(1+0.05)^6,-4)))+((('הנחות עסקה'!$D$72*'הנחות עסקה'!$I$70)/365)*חישובים!$D$23*(0.1*(ROUND('מודל כלכלי'!$C$59*(1+0.05)^6,-4)))*0.5)))))+(-(((0.07*(ROUND('מודל כלכלי'!$C$59*(1+0.05)^6,-4)))+(0.13*(ROUND('מודל כלכלי'!$C$59*(1+0.05)^6,-4)))+(-PV(חישובים!$D$21,((('הנחות עסקה'!$D$72*'הנחות עסקה'!$I$70)-30)/365),,((0.7*(ROUND('מודל כלכלי'!$C$59*(1+0.05)^6,-4)))+(((('הנחות עסקה'!$D$72*'הנחות עסקה'!$I$70)-30)/365)*חישובים!$D$23*(0.7*(ROUND('מודל כלכלי'!$C$59*(1+0.05)^6,-4)))*0.5))))+(-PV(חישובים!$D$21,(('הנחות עסקה'!$D$72*'הנחות עסקה'!$I$70)/365),,((0.1*(ROUND('מודל כלכלי'!$C$59*(1+0.05)^6,-4)))+((('הנחות עסקה'!$D$72*'הנחות עסקה'!$I$70)/365)*חישובים!$D$23*(0.1*(ROUND('מודל כלכלי'!$C$59*(1+0.05)^6,-4)))*0.5)))))+(-PV(חישובים!$D$21/12,(('הנחות עסקה'!$D$72*'הנחות עסקה'!$I$70)/365*12),(-FV('מודל כלכלי'!$C$20,(6+(('הנחות עסקה'!$D$71-'הנחות עסקה'!$D$72)*'הנחות עסקה'!$I$70)/365),,'מודל כלכלי'!$C$53)))))*היוון!$C$26)),ROUND('מודל כלכלי'!$C$59*(1+0.05)^6,-4)))-(חישובים!$D$28*(1+חישובים!$D$29)^6))*0.25),-4))+'מודל כלכלי'!$C$45)/'מודל כלכלי'!$C$45)^(1/6)-1</f>
        <v>0.25290499990415394</v>
      </c>
      <c r="D13" s="59">
        <f>(((ROUND((IF('מודל כלכלי'!$C$26="פליפ",((-PV(חישובים!$D$21/12,(('הנחות עסקה'!$D$72*'הנחות עסקה'!$I$70)/365*12),(-FV('מודל כלכלי'!$C$20,(7+(('הנחות עסקה'!$D$71-'הנחות עסקה'!$D$72)*'הנחות עסקה'!$I$70)/365),,'מודל כלכלי'!$C$53))))+((0.07*(ROUND('מודל כלכלי'!$C$59*(1+0.05)^7,-4)))+(0.13*(ROUND('מודל כלכלי'!$C$59*(1+0.05)^7,-4)))+(-PV(חישובים!$D$21,((('הנחות עסקה'!$D$72*'הנחות עסקה'!$I$70)-30)/365),,((0.7*(ROUND('מודל כלכלי'!$C$59*(1+0.05)^7,-4)))+(((('הנחות עסקה'!$D$72*'הנחות עסקה'!$I$70)-30)/365)*חישובים!$D$23*(0.7*(ROUND('מודל כלכלי'!$C$59*(1+0.05)^7,-4)))*0.5))))+(-PV(חישובים!$D$21,(('הנחות עסקה'!$D$72*'הנחות עסקה'!$I$70)/365),,((0.1*(ROUND('מודל כלכלי'!$C$59*(1+0.05)^7,-4)))+((('הנחות עסקה'!$D$72*'הנחות עסקה'!$I$70)/365)*חישובים!$D$23*(0.1*(ROUND('מודל כלכלי'!$C$59*(1+0.05)^7,-4)))*0.5)))))+(-(((0.07*(ROUND('מודל כלכלי'!$C$59*(1+0.05)^7,-4)))+(0.13*(ROUND('מודל כלכלי'!$C$59*(1+0.05)^7,-4)))+(-PV(חישובים!$D$21,((('הנחות עסקה'!$D$72*'הנחות עסקה'!$I$70)-30)/365),,((0.7*(ROUND('מודל כלכלי'!$C$59*(1+0.05)^7,-4)))+(((('הנחות עסקה'!$D$72*'הנחות עסקה'!$I$70)-30)/365)*חישובים!$D$23*(0.7*(ROUND('מודל כלכלי'!$C$59*(1+0.05)^7,-4)))*0.5))))+(-PV(חישובים!$D$21,(('הנחות עסקה'!$D$72*'הנחות עסקה'!$I$70)/365),,((0.1*(ROUND('מודל כלכלי'!$C$59*(1+0.05)^7,-4)))+((('הנחות עסקה'!$D$72*'הנחות עסקה'!$I$70)/365)*חישובים!$D$23*(0.1*(ROUND('מודל כלכלי'!$C$59*(1+0.05)^7,-4)))*0.5)))))+(-PV(חישובים!$D$21/12,(('הנחות עסקה'!$D$72*'הנחות עסקה'!$I$70)/365*12),(-FV('מודל כלכלי'!$C$20,(7+(('הנחות עסקה'!$D$71-'הנחות עסקה'!$D$72)*'הנחות עסקה'!$I$70)/365),,'מודל כלכלי'!$C$53)))))*היוון!$C$26)),ROUND('מודל כלכלי'!$C$59*(1+0.05)^7,-4)))+(ROUND(FV('מודל כלכלי'!$C$17/12,7*12,'מודל כלכלי'!$C$48,'מודל כלכלי'!$C$46),-4))+(ROUND(-'מודל כלכלי'!$C$66*(IF('מודל כלכלי'!$C$26="פליפ",((-PV(חישובים!$D$21/12,(('הנחות עסקה'!$D$72*'הנחות עסקה'!$I$70)/365*12),(-FV('מודל כלכלי'!$C$20,(7+(('הנחות עסקה'!$D$71-'הנחות עסקה'!$D$72)*'הנחות עסקה'!$I$70)/365),,'מודל כלכלי'!$C$53))))+((0.07*(ROUND('מודל כלכלי'!$C$59*(1+0.05)^7,-4)))+(0.13*(ROUND('מודל כלכלי'!$C$59*(1+0.05)^7,-4)))+(-PV(חישובים!$D$21,((('הנחות עסקה'!$D$72*'הנחות עסקה'!$I$70)-30)/365),,((0.7*(ROUND('מודל כלכלי'!$C$59*(1+0.05)^7,-4)))+(((('הנחות עסקה'!$D$72*'הנחות עסקה'!$I$70)-30)/365)*חישובים!$D$23*(0.7*(ROUND('מודל כלכלי'!$C$59*(1+0.05)^7,-4)))*0.5))))+(-PV(חישובים!$D$21,(('הנחות עסקה'!$D$72*'הנחות עסקה'!$I$70)/365),,((0.1*(ROUND('מודל כלכלי'!$C$59*(1+0.05)^7,-4)))+((('הנחות עסקה'!$D$72*'הנחות עסקה'!$I$70)/365)*חישובים!$D$23*(0.1*(ROUND('מודל כלכלי'!$C$59*(1+0.05)^7,-4)))*0.5)))))+(-(((0.07*(ROUND('מודל כלכלי'!$C$59*(1+0.05)^7,-4)))+(0.13*(ROUND('מודל כלכלי'!$C$59*(1+0.05)^7,-4)))+(-PV(חישובים!$D$21,((('הנחות עסקה'!$D$72*'הנחות עסקה'!$I$70)-30)/365),,((0.7*(ROUND('מודל כלכלי'!$C$59*(1+0.05)^7,-4)))+(((('הנחות עסקה'!$D$72*'הנחות עסקה'!$I$70)-30)/365)*חישובים!$D$23*(0.7*(ROUND('מודל כלכלי'!$C$59*(1+0.05)^7,-4)))*0.5))))+(-PV(חישובים!$D$21,(('הנחות עסקה'!$D$72*'הנחות עסקה'!$I$70)/365),,((0.1*(ROUND('מודל כלכלי'!$C$59*(1+0.05)^7,-4)))+((('הנחות עסקה'!$D$72*'הנחות עסקה'!$I$70)/365)*חישובים!$D$23*(0.1*(ROUND('מודל כלכלי'!$C$59*(1+0.05)^7,-4)))*0.5)))))+(-PV(חישובים!$D$21/12,(('הנחות עסקה'!$D$72*'הנחות עסקה'!$I$70)/365*12),(-FV('מודל כלכלי'!$C$20,(7+(('הנחות עסקה'!$D$71-'הנחות עסקה'!$D$72)*'הנחות עסקה'!$I$70)/365),,'מודל כלכלי'!$C$53)))))*היוון!$C$26)),ROUND('מודל כלכלי'!$C$59*(1+0.05)^7,-4)))*'מודל כלכלי'!$C$14-'מודל כלכלי'!$C$68*(IF('מודל כלכלי'!$C$26="פליפ",((-PV(חישובים!$D$21/12,(('הנחות עסקה'!$D$72*'הנחות עסקה'!$I$70)/365*12),(-FV('מודל כלכלי'!$C$20,(7+(('הנחות עסקה'!$D$71-'הנחות עסקה'!$D$72)*'הנחות עסקה'!$I$70)/365),,'מודל כלכלי'!$C$53))))+((0.07*(ROUND('מודל כלכלי'!$C$59*(1+0.05)^7,-4)))+(0.13*(ROUND('מודל כלכלי'!$C$59*(1+0.05)^7,-4)))+(-PV(חישובים!$D$21,((('הנחות עסקה'!$D$72*'הנחות עסקה'!$I$70)-30)/365),,((0.7*(ROUND('מודל כלכלי'!$C$59*(1+0.05)^7,-4)))+(((('הנחות עסקה'!$D$72*'הנחות עסקה'!$I$70)-30)/365)*חישובים!$D$23*(0.7*(ROUND('מודל כלכלי'!$C$59*(1+0.05)^7,-4)))*0.5))))+(-PV(חישובים!$D$21,(('הנחות עסקה'!$D$72*'הנחות עסקה'!$I$70)/365),,((0.1*(ROUND('מודל כלכלי'!$C$59*(1+0.05)^7,-4)))+((('הנחות עסקה'!$D$72*'הנחות עסקה'!$I$70)/365)*חישובים!$D$23*(0.1*(ROUND('מודל כלכלי'!$C$59*(1+0.05)^7,-4)))*0.5)))))+(-(((0.07*(ROUND('מודל כלכלי'!$C$59*(1+0.05)^7,-4)))+(0.13*(ROUND('מודל כלכלי'!$C$59*(1+0.05)^7,-4)))+(-PV(חישובים!$D$21,((('הנחות עסקה'!$D$72*'הנחות עסקה'!$I$70)-30)/365),,((0.7*(ROUND('מודל כלכלי'!$C$59*(1+0.05)^7,-4)))+(((('הנחות עסקה'!$D$72*'הנחות עסקה'!$I$70)-30)/365)*חישובים!$D$23*(0.7*(ROUND('מודל כלכלי'!$C$59*(1+0.05)^7,-4)))*0.5))))+(-PV(חישובים!$D$21,(('הנחות עסקה'!$D$72*'הנחות עסקה'!$I$70)/365),,((0.1*(ROUND('מודל כלכלי'!$C$59*(1+0.05)^7,-4)))+((('הנחות עסקה'!$D$72*'הנחות עסקה'!$I$70)/365)*חישובים!$D$23*(0.1*(ROUND('מודל כלכלי'!$C$59*(1+0.05)^7,-4)))*0.5)))))+(-PV(חישובים!$D$21/12,(('הנחות עסקה'!$D$72*'הנחות עסקה'!$I$70)/365*12),(-FV('מודל כלכלי'!$C$20,(7+(('הנחות עסקה'!$D$71-'הנחות עסקה'!$D$72)*'הנחות עסקה'!$I$70)/365),,'מודל כלכלי'!$C$53)))))*היוון!$C$26)),ROUND('מודל כלכלי'!$C$59*(1+0.05)^7,-4)))*'מודל כלכלי'!$C$14+'מודל כלכלי'!$C$70,-3))+(ROUND(-FV(חישובים!$D$22,7*12,'מודל כלכלי'!$C$55),-3))+(-'מודל כלכלי'!$C$45)+(-MAX(0,(IF('מודל כלכלי'!$C$26="פליפ",((-PV(חישובים!$D$21/12,(('הנחות עסקה'!$D$72*'הנחות עסקה'!$I$70)/365*12),(-FV('מודל כלכלי'!$C$20,(7+(('הנחות עסקה'!$D$71-'הנחות עסקה'!$D$72)*'הנחות עסקה'!$I$70)/365),,'מודל כלכלי'!$C$53))))+((0.07*(ROUND('מודל כלכלי'!$C$59*(1+0.05)^7,-4)))+(0.13*(ROUND('מודל כלכלי'!$C$59*(1+0.05)^7,-4)))+(-PV(חישובים!$D$21,((('הנחות עסקה'!$D$72*'הנחות עסקה'!$I$70)-30)/365),,((0.7*(ROUND('מודל כלכלי'!$C$59*(1+0.05)^7,-4)))+(((('הנחות עסקה'!$D$72*'הנחות עסקה'!$I$70)-30)/365)*חישובים!$D$23*(0.7*(ROUND('מודל כלכלי'!$C$59*(1+0.05)^7,-4)))*0.5))))+(-PV(חישובים!$D$21,(('הנחות עסקה'!$D$72*'הנחות עסקה'!$I$70)/365),,((0.1*(ROUND('מודל כלכלי'!$C$59*(1+0.05)^7,-4)))+((('הנחות עסקה'!$D$72*'הנחות עסקה'!$I$70)/365)*חישובים!$D$23*(0.1*(ROUND('מודל כלכלי'!$C$59*(1+0.05)^7,-4)))*0.5)))))+(-(((0.07*(ROUND('מודל כלכלי'!$C$59*(1+0.05)^7,-4)))+(0.13*(ROUND('מודל כלכלי'!$C$59*(1+0.05)^7,-4)))+(-PV(חישובים!$D$21,((('הנחות עסקה'!$D$72*'הנחות עסקה'!$I$70)-30)/365),,((0.7*(ROUND('מודל כלכלי'!$C$59*(1+0.05)^7,-4)))+(((('הנחות עסקה'!$D$72*'הנחות עסקה'!$I$70)-30)/365)*חישובים!$D$23*(0.7*(ROUND('מודל כלכלי'!$C$59*(1+0.05)^7,-4)))*0.5))))+(-PV(חישובים!$D$21,(('הנחות עסקה'!$D$72*'הנחות עסקה'!$I$70)/365),,((0.1*(ROUND('מודל כלכלי'!$C$59*(1+0.05)^7,-4)))+((('הנחות עסקה'!$D$72*'הנחות עסקה'!$I$70)/365)*חישובים!$D$23*(0.1*(ROUND('מודל כלכלי'!$C$59*(1+0.05)^7,-4)))*0.5)))))+(-PV(חישובים!$D$21/12,(('הנחות עסקה'!$D$72*'הנחות עסקה'!$I$70)/365*12),(-FV('מודל כלכלי'!$C$20,(7+(('הנחות עסקה'!$D$71-'הנחות עסקה'!$D$72)*'הנחות עסקה'!$I$70)/365),,'מודל כלכלי'!$C$53)))))*היוון!$C$26)),ROUND('מודל כלכלי'!$C$59*(1+0.05)^7,-4)))-(חישובים!$D$28*(1+חישובים!$D$29)^7))*0.25),-4))+'מודל כלכלי'!$C$45)/'מודל כלכלי'!$C$45)^(1/7)-1</f>
        <v>0.22571707055030887</v>
      </c>
      <c r="E13" s="59">
        <f>(((ROUND((IF('מודל כלכלי'!$C$26="פליפ",((-PV(חישובים!$D$21/12,(('הנחות עסקה'!$D$72*'הנחות עסקה'!$I$70)/365*12),(-FV('מודל כלכלי'!$C$20,(8+(('הנחות עסקה'!$D$71-'הנחות עסקה'!$D$72)*'הנחות עסקה'!$I$70)/365),,'מודל כלכלי'!$C$53))))+((0.07*(ROUND('מודל כלכלי'!$C$59*(1+0.05)^8,-4)))+(0.13*(ROUND('מודל כלכלי'!$C$59*(1+0.05)^8,-4)))+(-PV(חישובים!$D$21,((('הנחות עסקה'!$D$72*'הנחות עסקה'!$I$70)-30)/365),,((0.7*(ROUND('מודל כלכלי'!$C$59*(1+0.05)^8,-4)))+(((('הנחות עסקה'!$D$72*'הנחות עסקה'!$I$70)-30)/365)*חישובים!$D$23*(0.7*(ROUND('מודל כלכלי'!$C$59*(1+0.05)^8,-4)))*0.5))))+(-PV(חישובים!$D$21,(('הנחות עסקה'!$D$72*'הנחות עסקה'!$I$70)/365),,((0.1*(ROUND('מודל כלכלי'!$C$59*(1+0.05)^8,-4)))+((('הנחות עסקה'!$D$72*'הנחות עסקה'!$I$70)/365)*חישובים!$D$23*(0.1*(ROUND('מודל כלכלי'!$C$59*(1+0.05)^8,-4)))*0.5)))))+(-(((0.07*(ROUND('מודל כלכלי'!$C$59*(1+0.05)^8,-4)))+(0.13*(ROUND('מודל כלכלי'!$C$59*(1+0.05)^8,-4)))+(-PV(חישובים!$D$21,((('הנחות עסקה'!$D$72*'הנחות עסקה'!$I$70)-30)/365),,((0.7*(ROUND('מודל כלכלי'!$C$59*(1+0.05)^8,-4)))+(((('הנחות עסקה'!$D$72*'הנחות עסקה'!$I$70)-30)/365)*חישובים!$D$23*(0.7*(ROUND('מודל כלכלי'!$C$59*(1+0.05)^8,-4)))*0.5))))+(-PV(חישובים!$D$21,(('הנחות עסקה'!$D$72*'הנחות עסקה'!$I$70)/365),,((0.1*(ROUND('מודל כלכלי'!$C$59*(1+0.05)^8,-4)))+((('הנחות עסקה'!$D$72*'הנחות עסקה'!$I$70)/365)*חישובים!$D$23*(0.1*(ROUND('מודל כלכלי'!$C$59*(1+0.05)^8,-4)))*0.5)))))+(-PV(חישובים!$D$21/12,(('הנחות עסקה'!$D$72*'הנחות עסקה'!$I$70)/365*12),(-FV('מודל כלכלי'!$C$20,(8+(('הנחות עסקה'!$D$71-'הנחות עסקה'!$D$72)*'הנחות עסקה'!$I$70)/365),,'מודל כלכלי'!$C$53)))))*היוון!$C$26)),ROUND('מודל כלכלי'!$C$59*(1+0.05)^8,-4)))+(ROUND(FV('מודל כלכלי'!$C$17/12,8*12,'מודל כלכלי'!$C$48,'מודל כלכלי'!$C$46),-4))+(ROUND(-'מודל כלכלי'!$C$66*(IF('מודל כלכלי'!$C$26="פליפ",((-PV(חישובים!$D$21/12,(('הנחות עסקה'!$D$72*'הנחות עסקה'!$I$70)/365*12),(-FV('מודל כלכלי'!$C$20,(8+(('הנחות עסקה'!$D$71-'הנחות עסקה'!$D$72)*'הנחות עסקה'!$I$70)/365),,'מודל כלכלי'!$C$53))))+((0.07*(ROUND('מודל כלכלי'!$C$59*(1+0.05)^8,-4)))+(0.13*(ROUND('מודל כלכלי'!$C$59*(1+0.05)^8,-4)))+(-PV(חישובים!$D$21,((('הנחות עסקה'!$D$72*'הנחות עסקה'!$I$70)-30)/365),,((0.7*(ROUND('מודל כלכלי'!$C$59*(1+0.05)^8,-4)))+(((('הנחות עסקה'!$D$72*'הנחות עסקה'!$I$70)-30)/365)*חישובים!$D$23*(0.7*(ROUND('מודל כלכלי'!$C$59*(1+0.05)^8,-4)))*0.5))))+(-PV(חישובים!$D$21,(('הנחות עסקה'!$D$72*'הנחות עסקה'!$I$70)/365),,((0.1*(ROUND('מודל כלכלי'!$C$59*(1+0.05)^8,-4)))+((('הנחות עסקה'!$D$72*'הנחות עסקה'!$I$70)/365)*חישובים!$D$23*(0.1*(ROUND('מודל כלכלי'!$C$59*(1+0.05)^8,-4)))*0.5)))))+(-(((0.07*(ROUND('מודל כלכלי'!$C$59*(1+0.05)^8,-4)))+(0.13*(ROUND('מודל כלכלי'!$C$59*(1+0.05)^8,-4)))+(-PV(חישובים!$D$21,((('הנחות עסקה'!$D$72*'הנחות עסקה'!$I$70)-30)/365),,((0.7*(ROUND('מודל כלכלי'!$C$59*(1+0.05)^8,-4)))+(((('הנחות עסקה'!$D$72*'הנחות עסקה'!$I$70)-30)/365)*חישובים!$D$23*(0.7*(ROUND('מודל כלכלי'!$C$59*(1+0.05)^8,-4)))*0.5))))+(-PV(חישובים!$D$21,(('הנחות עסקה'!$D$72*'הנחות עסקה'!$I$70)/365),,((0.1*(ROUND('מודל כלכלי'!$C$59*(1+0.05)^8,-4)))+((('הנחות עסקה'!$D$72*'הנחות עסקה'!$I$70)/365)*חישובים!$D$23*(0.1*(ROUND('מודל כלכלי'!$C$59*(1+0.05)^8,-4)))*0.5)))))+(-PV(חישובים!$D$21/12,(('הנחות עסקה'!$D$72*'הנחות עסקה'!$I$70)/365*12),(-FV('מודל כלכלי'!$C$20,(8+(('הנחות עסקה'!$D$71-'הנחות עסקה'!$D$72)*'הנחות עסקה'!$I$70)/365),,'מודל כלכלי'!$C$53)))))*היוון!$C$26)),ROUND('מודל כלכלי'!$C$59*(1+0.05)^8,-4)))*'מודל כלכלי'!$C$14-'מודל כלכלי'!$C$68*(IF('מודל כלכלי'!$C$26="פליפ",((-PV(חישובים!$D$21/12,(('הנחות עסקה'!$D$72*'הנחות עסקה'!$I$70)/365*12),(-FV('מודל כלכלי'!$C$20,(8+(('הנחות עסקה'!$D$71-'הנחות עסקה'!$D$72)*'הנחות עסקה'!$I$70)/365),,'מודל כלכלי'!$C$53))))+((0.07*(ROUND('מודל כלכלי'!$C$59*(1+0.05)^8,-4)))+(0.13*(ROUND('מודל כלכלי'!$C$59*(1+0.05)^8,-4)))+(-PV(חישובים!$D$21,((('הנחות עסקה'!$D$72*'הנחות עסקה'!$I$70)-30)/365),,((0.7*(ROUND('מודל כלכלי'!$C$59*(1+0.05)^8,-4)))+(((('הנחות עסקה'!$D$72*'הנחות עסקה'!$I$70)-30)/365)*חישובים!$D$23*(0.7*(ROUND('מודל כלכלי'!$C$59*(1+0.05)^8,-4)))*0.5))))+(-PV(חישובים!$D$21,(('הנחות עסקה'!$D$72*'הנחות עסקה'!$I$70)/365),,((0.1*(ROUND('מודל כלכלי'!$C$59*(1+0.05)^8,-4)))+((('הנחות עסקה'!$D$72*'הנחות עסקה'!$I$70)/365)*חישובים!$D$23*(0.1*(ROUND('מודל כלכלי'!$C$59*(1+0.05)^8,-4)))*0.5)))))+(-(((0.07*(ROUND('מודל כלכלי'!$C$59*(1+0.05)^8,-4)))+(0.13*(ROUND('מודל כלכלי'!$C$59*(1+0.05)^8,-4)))+(-PV(חישובים!$D$21,((('הנחות עסקה'!$D$72*'הנחות עסקה'!$I$70)-30)/365),,((0.7*(ROUND('מודל כלכלי'!$C$59*(1+0.05)^8,-4)))+(((('הנחות עסקה'!$D$72*'הנחות עסקה'!$I$70)-30)/365)*חישובים!$D$23*(0.7*(ROUND('מודל כלכלי'!$C$59*(1+0.05)^8,-4)))*0.5))))+(-PV(חישובים!$D$21,(('הנחות עסקה'!$D$72*'הנחות עסקה'!$I$70)/365),,((0.1*(ROUND('מודל כלכלי'!$C$59*(1+0.05)^8,-4)))+((('הנחות עסקה'!$D$72*'הנחות עסקה'!$I$70)/365)*חישובים!$D$23*(0.1*(ROUND('מודל כלכלי'!$C$59*(1+0.05)^8,-4)))*0.5)))))+(-PV(חישובים!$D$21/12,(('הנחות עסקה'!$D$72*'הנחות עסקה'!$I$70)/365*12),(-FV('מודל כלכלי'!$C$20,(8+(('הנחות עסקה'!$D$71-'הנחות עסקה'!$D$72)*'הנחות עסקה'!$I$70)/365),,'מודל כלכלי'!$C$53)))))*היוון!$C$26)),ROUND('מודל כלכלי'!$C$59*(1+0.05)^8,-4)))*'מודל כלכלי'!$C$14+'מודל כלכלי'!$C$70,-3))+(ROUND(-FV(חישובים!$D$22,8*12,'מודל כלכלי'!$C$55),-3))+(-'מודל כלכלי'!$C$45)+(-MAX(0,(IF('מודל כלכלי'!$C$26="פליפ",((-PV(חישובים!$D$21/12,(('הנחות עסקה'!$D$72*'הנחות עסקה'!$I$70)/365*12),(-FV('מודל כלכלי'!$C$20,(8+(('הנחות עסקה'!$D$71-'הנחות עסקה'!$D$72)*'הנחות עסקה'!$I$70)/365),,'מודל כלכלי'!$C$53))))+((0.07*(ROUND('מודל כלכלי'!$C$59*(1+0.05)^8,-4)))+(0.13*(ROUND('מודל כלכלי'!$C$59*(1+0.05)^8,-4)))+(-PV(חישובים!$D$21,((('הנחות עסקה'!$D$72*'הנחות עסקה'!$I$70)-30)/365),,((0.7*(ROUND('מודל כלכלי'!$C$59*(1+0.05)^8,-4)))+(((('הנחות עסקה'!$D$72*'הנחות עסקה'!$I$70)-30)/365)*חישובים!$D$23*(0.7*(ROUND('מודל כלכלי'!$C$59*(1+0.05)^8,-4)))*0.5))))+(-PV(חישובים!$D$21,(('הנחות עסקה'!$D$72*'הנחות עסקה'!$I$70)/365),,((0.1*(ROUND('מודל כלכלי'!$C$59*(1+0.05)^8,-4)))+((('הנחות עסקה'!$D$72*'הנחות עסקה'!$I$70)/365)*חישובים!$D$23*(0.1*(ROUND('מודל כלכלי'!$C$59*(1+0.05)^8,-4)))*0.5)))))+(-(((0.07*(ROUND('מודל כלכלי'!$C$59*(1+0.05)^8,-4)))+(0.13*(ROUND('מודל כלכלי'!$C$59*(1+0.05)^8,-4)))+(-PV(חישובים!$D$21,((('הנחות עסקה'!$D$72*'הנחות עסקה'!$I$70)-30)/365),,((0.7*(ROUND('מודל כלכלי'!$C$59*(1+0.05)^8,-4)))+(((('הנחות עסקה'!$D$72*'הנחות עסקה'!$I$70)-30)/365)*חישובים!$D$23*(0.7*(ROUND('מודל כלכלי'!$C$59*(1+0.05)^8,-4)))*0.5))))+(-PV(חישובים!$D$21,(('הנחות עסקה'!$D$72*'הנחות עסקה'!$I$70)/365),,((0.1*(ROUND('מודל כלכלי'!$C$59*(1+0.05)^8,-4)))+((('הנחות עסקה'!$D$72*'הנחות עסקה'!$I$70)/365)*חישובים!$D$23*(0.1*(ROUND('מודל כלכלי'!$C$59*(1+0.05)^8,-4)))*0.5)))))+(-PV(חישובים!$D$21/12,(('הנחות עסקה'!$D$72*'הנחות עסקה'!$I$70)/365*12),(-FV('מודל כלכלי'!$C$20,(8+(('הנחות עסקה'!$D$71-'הנחות עסקה'!$D$72)*'הנחות עסקה'!$I$70)/365),,'מודל כלכלי'!$C$53)))))*היוון!$C$26)),ROUND('מודל כלכלי'!$C$59*(1+0.05)^8,-4)))-(חישובים!$D$28*(1+חישובים!$D$29)^8))*0.25),-4))+'מודל כלכלי'!$C$45)/'מודל כלכלי'!$C$45)^(1/8)-1</f>
        <v>0.20498720920053759</v>
      </c>
      <c r="F13" s="59">
        <f>(((ROUND((IF('מודל כלכלי'!$C$26="פליפ",((-PV(חישובים!$D$21/12,(('הנחות עסקה'!$D$72*'הנחות עסקה'!$I$70)/365*12),(-FV('מודל כלכלי'!$C$20,(9+(('הנחות עסקה'!$D$71-'הנחות עסקה'!$D$72)*'הנחות עסקה'!$I$70)/365),,'מודל כלכלי'!$C$53))))+((0.07*(ROUND('מודל כלכלי'!$C$59*(1+0.05)^9,-4)))+(0.13*(ROUND('מודל כלכלי'!$C$59*(1+0.05)^9,-4)))+(-PV(חישובים!$D$21,((('הנחות עסקה'!$D$72*'הנחות עסקה'!$I$70)-30)/365),,((0.7*(ROUND('מודל כלכלי'!$C$59*(1+0.05)^9,-4)))+(((('הנחות עסקה'!$D$72*'הנחות עסקה'!$I$70)-30)/365)*חישובים!$D$23*(0.7*(ROUND('מודל כלכלי'!$C$59*(1+0.05)^9,-4)))*0.5))))+(-PV(חישובים!$D$21,(('הנחות עסקה'!$D$72*'הנחות עסקה'!$I$70)/365),,((0.1*(ROUND('מודל כלכלי'!$C$59*(1+0.05)^9,-4)))+((('הנחות עסקה'!$D$72*'הנחות עסקה'!$I$70)/365)*חישובים!$D$23*(0.1*(ROUND('מודל כלכלי'!$C$59*(1+0.05)^9,-4)))*0.5)))))+(-(((0.07*(ROUND('מודל כלכלי'!$C$59*(1+0.05)^9,-4)))+(0.13*(ROUND('מודל כלכלי'!$C$59*(1+0.05)^9,-4)))+(-PV(חישובים!$D$21,((('הנחות עסקה'!$D$72*'הנחות עסקה'!$I$70)-30)/365),,((0.7*(ROUND('מודל כלכלי'!$C$59*(1+0.05)^9,-4)))+(((('הנחות עסקה'!$D$72*'הנחות עסקה'!$I$70)-30)/365)*חישובים!$D$23*(0.7*(ROUND('מודל כלכלי'!$C$59*(1+0.05)^9,-4)))*0.5))))+(-PV(חישובים!$D$21,(('הנחות עסקה'!$D$72*'הנחות עסקה'!$I$70)/365),,((0.1*(ROUND('מודל כלכלי'!$C$59*(1+0.05)^9,-4)))+((('הנחות עסקה'!$D$72*'הנחות עסקה'!$I$70)/365)*חישובים!$D$23*(0.1*(ROUND('מודל כלכלי'!$C$59*(1+0.05)^9,-4)))*0.5)))))+(-PV(חישובים!$D$21/12,(('הנחות עסקה'!$D$72*'הנחות עסקה'!$I$70)/365*12),(-FV('מודל כלכלי'!$C$20,(9+(('הנחות עסקה'!$D$71-'הנחות עסקה'!$D$72)*'הנחות עסקה'!$I$70)/365),,'מודל כלכלי'!$C$53)))))*היוון!$C$26)),ROUND('מודל כלכלי'!$C$59*(1+0.05)^9,-4)))+(ROUND(FV('מודל כלכלי'!$C$17/12,9*12,'מודל כלכלי'!$C$48,'מודל כלכלי'!$C$46),-4))+(ROUND(-'מודל כלכלי'!$C$66*(IF('מודל כלכלי'!$C$26="פליפ",((-PV(חישובים!$D$21/12,(('הנחות עסקה'!$D$72*'הנחות עסקה'!$I$70)/365*12),(-FV('מודל כלכלי'!$C$20,(9+(('הנחות עסקה'!$D$71-'הנחות עסקה'!$D$72)*'הנחות עסקה'!$I$70)/365),,'מודל כלכלי'!$C$53))))+((0.07*(ROUND('מודל כלכלי'!$C$59*(1+0.05)^9,-4)))+(0.13*(ROUND('מודל כלכלי'!$C$59*(1+0.05)^9,-4)))+(-PV(חישובים!$D$21,((('הנחות עסקה'!$D$72*'הנחות עסקה'!$I$70)-30)/365),,((0.7*(ROUND('מודל כלכלי'!$C$59*(1+0.05)^9,-4)))+(((('הנחות עסקה'!$D$72*'הנחות עסקה'!$I$70)-30)/365)*חישובים!$D$23*(0.7*(ROUND('מודל כלכלי'!$C$59*(1+0.05)^9,-4)))*0.5))))+(-PV(חישובים!$D$21,(('הנחות עסקה'!$D$72*'הנחות עסקה'!$I$70)/365),,((0.1*(ROUND('מודל כלכלי'!$C$59*(1+0.05)^9,-4)))+((('הנחות עסקה'!$D$72*'הנחות עסקה'!$I$70)/365)*חישובים!$D$23*(0.1*(ROUND('מודל כלכלי'!$C$59*(1+0.05)^9,-4)))*0.5)))))+(-(((0.07*(ROUND('מודל כלכלי'!$C$59*(1+0.05)^9,-4)))+(0.13*(ROUND('מודל כלכלי'!$C$59*(1+0.05)^9,-4)))+(-PV(חישובים!$D$21,((('הנחות עסקה'!$D$72*'הנחות עסקה'!$I$70)-30)/365),,((0.7*(ROUND('מודל כלכלי'!$C$59*(1+0.05)^9,-4)))+(((('הנחות עסקה'!$D$72*'הנחות עסקה'!$I$70)-30)/365)*חישובים!$D$23*(0.7*(ROUND('מודל כלכלי'!$C$59*(1+0.05)^9,-4)))*0.5))))+(-PV(חישובים!$D$21,(('הנחות עסקה'!$D$72*'הנחות עסקה'!$I$70)/365),,((0.1*(ROUND('מודל כלכלי'!$C$59*(1+0.05)^9,-4)))+((('הנחות עסקה'!$D$72*'הנחות עסקה'!$I$70)/365)*חישובים!$D$23*(0.1*(ROUND('מודל כלכלי'!$C$59*(1+0.05)^9,-4)))*0.5)))))+(-PV(חישובים!$D$21/12,(('הנחות עסקה'!$D$72*'הנחות עסקה'!$I$70)/365*12),(-FV('מודל כלכלי'!$C$20,(9+(('הנחות עסקה'!$D$71-'הנחות עסקה'!$D$72)*'הנחות עסקה'!$I$70)/365),,'מודל כלכלי'!$C$53)))))*היוון!$C$26)),ROUND('מודל כלכלי'!$C$59*(1+0.05)^9,-4)))*'מודל כלכלי'!$C$14-'מודל כלכלי'!$C$68*(IF('מודל כלכלי'!$C$26="פליפ",((-PV(חישובים!$D$21/12,(('הנחות עסקה'!$D$72*'הנחות עסקה'!$I$70)/365*12),(-FV('מודל כלכלי'!$C$20,(9+(('הנחות עסקה'!$D$71-'הנחות עסקה'!$D$72)*'הנחות עסקה'!$I$70)/365),,'מודל כלכלי'!$C$53))))+((0.07*(ROUND('מודל כלכלי'!$C$59*(1+0.05)^9,-4)))+(0.13*(ROUND('מודל כלכלי'!$C$59*(1+0.05)^9,-4)))+(-PV(חישובים!$D$21,((('הנחות עסקה'!$D$72*'הנחות עסקה'!$I$70)-30)/365),,((0.7*(ROUND('מודל כלכלי'!$C$59*(1+0.05)^9,-4)))+(((('הנחות עסקה'!$D$72*'הנחות עסקה'!$I$70)-30)/365)*חישובים!$D$23*(0.7*(ROUND('מודל כלכלי'!$C$59*(1+0.05)^9,-4)))*0.5))))+(-PV(חישובים!$D$21,(('הנחות עסקה'!$D$72*'הנחות עסקה'!$I$70)/365),,((0.1*(ROUND('מודל כלכלי'!$C$59*(1+0.05)^9,-4)))+((('הנחות עסקה'!$D$72*'הנחות עסקה'!$I$70)/365)*חישובים!$D$23*(0.1*(ROUND('מודל כלכלי'!$C$59*(1+0.05)^9,-4)))*0.5)))))+(-(((0.07*(ROUND('מודל כלכלי'!$C$59*(1+0.05)^9,-4)))+(0.13*(ROUND('מודל כלכלי'!$C$59*(1+0.05)^9,-4)))+(-PV(חישובים!$D$21,((('הנחות עסקה'!$D$72*'הנחות עסקה'!$I$70)-30)/365),,((0.7*(ROUND('מודל כלכלי'!$C$59*(1+0.05)^9,-4)))+(((('הנחות עסקה'!$D$72*'הנחות עסקה'!$I$70)-30)/365)*חישובים!$D$23*(0.7*(ROUND('מודל כלכלי'!$C$59*(1+0.05)^9,-4)))*0.5))))+(-PV(חישובים!$D$21,(('הנחות עסקה'!$D$72*'הנחות עסקה'!$I$70)/365),,((0.1*(ROUND('מודל כלכלי'!$C$59*(1+0.05)^9,-4)))+((('הנחות עסקה'!$D$72*'הנחות עסקה'!$I$70)/365)*חישובים!$D$23*(0.1*(ROUND('מודל כלכלי'!$C$59*(1+0.05)^9,-4)))*0.5)))))+(-PV(חישובים!$D$21/12,(('הנחות עסקה'!$D$72*'הנחות עסקה'!$I$70)/365*12),(-FV('מודל כלכלי'!$C$20,(9+(('הנחות עסקה'!$D$71-'הנחות עסקה'!$D$72)*'הנחות עסקה'!$I$70)/365),,'מודל כלכלי'!$C$53)))))*היוון!$C$26)),ROUND('מודל כלכלי'!$C$59*(1+0.05)^9,-4)))*'מודל כלכלי'!$C$14+'מודל כלכלי'!$C$70,-3))+(ROUND(-FV(חישובים!$D$22,9*12,'מודל כלכלי'!$C$55),-3))+(-'מודל כלכלי'!$C$45)+(-MAX(0,(IF('מודל כלכלי'!$C$26="פליפ",((-PV(חישובים!$D$21/12,(('הנחות עסקה'!$D$72*'הנחות עסקה'!$I$70)/365*12),(-FV('מודל כלכלי'!$C$20,(9+(('הנחות עסקה'!$D$71-'הנחות עסקה'!$D$72)*'הנחות עסקה'!$I$70)/365),,'מודל כלכלי'!$C$53))))+((0.07*(ROUND('מודל כלכלי'!$C$59*(1+0.05)^9,-4)))+(0.13*(ROUND('מודל כלכלי'!$C$59*(1+0.05)^9,-4)))+(-PV(חישובים!$D$21,((('הנחות עסקה'!$D$72*'הנחות עסקה'!$I$70)-30)/365),,((0.7*(ROUND('מודל כלכלי'!$C$59*(1+0.05)^9,-4)))+(((('הנחות עסקה'!$D$72*'הנחות עסקה'!$I$70)-30)/365)*חישובים!$D$23*(0.7*(ROUND('מודל כלכלי'!$C$59*(1+0.05)^9,-4)))*0.5))))+(-PV(חישובים!$D$21,(('הנחות עסקה'!$D$72*'הנחות עסקה'!$I$70)/365),,((0.1*(ROUND('מודל כלכלי'!$C$59*(1+0.05)^9,-4)))+((('הנחות עסקה'!$D$72*'הנחות עסקה'!$I$70)/365)*חישובים!$D$23*(0.1*(ROUND('מודל כלכלי'!$C$59*(1+0.05)^9,-4)))*0.5)))))+(-(((0.07*(ROUND('מודל כלכלי'!$C$59*(1+0.05)^9,-4)))+(0.13*(ROUND('מודל כלכלי'!$C$59*(1+0.05)^9,-4)))+(-PV(חישובים!$D$21,((('הנחות עסקה'!$D$72*'הנחות עסקה'!$I$70)-30)/365),,((0.7*(ROUND('מודל כלכלי'!$C$59*(1+0.05)^9,-4)))+(((('הנחות עסקה'!$D$72*'הנחות עסקה'!$I$70)-30)/365)*חישובים!$D$23*(0.7*(ROUND('מודל כלכלי'!$C$59*(1+0.05)^9,-4)))*0.5))))+(-PV(חישובים!$D$21,(('הנחות עסקה'!$D$72*'הנחות עסקה'!$I$70)/365),,((0.1*(ROUND('מודל כלכלי'!$C$59*(1+0.05)^9,-4)))+((('הנחות עסקה'!$D$72*'הנחות עסקה'!$I$70)/365)*חישובים!$D$23*(0.1*(ROUND('מודל כלכלי'!$C$59*(1+0.05)^9,-4)))*0.5)))))+(-PV(חישובים!$D$21/12,(('הנחות עסקה'!$D$72*'הנחות עסקה'!$I$70)/365*12),(-FV('מודל כלכלי'!$C$20,(9+(('הנחות עסקה'!$D$71-'הנחות עסקה'!$D$72)*'הנחות עסקה'!$I$70)/365),,'מודל כלכלי'!$C$53)))))*היוון!$C$26)),ROUND('מודל כלכלי'!$C$59*(1+0.05)^9,-4)))-(חישובים!$D$28*(1+חישובים!$D$29)^9))*0.25),-4))+'מודל כלכלי'!$C$45)/'מודל כלכלי'!$C$45)^(1/9)-1</f>
        <v>0.18939407473747072</v>
      </c>
      <c r="G13" s="59">
        <f>(((ROUND((IF('מודל כלכלי'!$C$26="פליפ",((-PV(חישובים!$D$21/12,(('הנחות עסקה'!$D$72*'הנחות עסקה'!$I$70)/365*12),(-FV('מודל כלכלי'!$C$20,(10+(('הנחות עסקה'!$D$71-'הנחות עסקה'!$D$72)*'הנחות עסקה'!$I$70)/365),,'מודל כלכלי'!$C$53))))+((0.07*(ROUND('מודל כלכלי'!$C$59*(1+0.05)^10,-4)))+(0.13*(ROUND('מודל כלכלי'!$C$59*(1+0.05)^10,-4)))+(-PV(חישובים!$D$21,((('הנחות עסקה'!$D$72*'הנחות עסקה'!$I$70)-30)/365),,((0.7*(ROUND('מודל כלכלי'!$C$59*(1+0.05)^10,-4)))+(((('הנחות עסקה'!$D$72*'הנחות עסקה'!$I$70)-30)/365)*חישובים!$D$23*(0.7*(ROUND('מודל כלכלי'!$C$59*(1+0.05)^10,-4)))*0.5))))+(-PV(חישובים!$D$21,(('הנחות עסקה'!$D$72*'הנחות עסקה'!$I$70)/365),,((0.1*(ROUND('מודל כלכלי'!$C$59*(1+0.05)^10,-4)))+((('הנחות עסקה'!$D$72*'הנחות עסקה'!$I$70)/365)*חישובים!$D$23*(0.1*(ROUND('מודל כלכלי'!$C$59*(1+0.05)^10,-4)))*0.5)))))+(-(((0.07*(ROUND('מודל כלכלי'!$C$59*(1+0.05)^10,-4)))+(0.13*(ROUND('מודל כלכלי'!$C$59*(1+0.05)^10,-4)))+(-PV(חישובים!$D$21,((('הנחות עסקה'!$D$72*'הנחות עסקה'!$I$70)-30)/365),,((0.7*(ROUND('מודל כלכלי'!$C$59*(1+0.05)^10,-4)))+(((('הנחות עסקה'!$D$72*'הנחות עסקה'!$I$70)-30)/365)*חישובים!$D$23*(0.7*(ROUND('מודל כלכלי'!$C$59*(1+0.05)^10,-4)))*0.5))))+(-PV(חישובים!$D$21,(('הנחות עסקה'!$D$72*'הנחות עסקה'!$I$70)/365),,((0.1*(ROUND('מודל כלכלי'!$C$59*(1+0.05)^10,-4)))+((('הנחות עסקה'!$D$72*'הנחות עסקה'!$I$70)/365)*חישובים!$D$23*(0.1*(ROUND('מודל כלכלי'!$C$59*(1+0.05)^10,-4)))*0.5)))))+(-PV(חישובים!$D$21/12,(('הנחות עסקה'!$D$72*'הנחות עסקה'!$I$70)/365*12),(-FV('מודל כלכלי'!$C$20,(10+(('הנחות עסקה'!$D$71-'הנחות עסקה'!$D$72)*'הנחות עסקה'!$I$70)/365),,'מודל כלכלי'!$C$53)))))*היוון!$C$26)),ROUND('מודל כלכלי'!$C$59*(1+0.05)^10,-4)))+(ROUND(FV('מודל כלכלי'!$C$17/12,10*12,'מודל כלכלי'!$C$48,'מודל כלכלי'!$C$46),-4))+(ROUND(-'מודל כלכלי'!$C$66*(IF('מודל כלכלי'!$C$26="פליפ",((-PV(חישובים!$D$21/12,(('הנחות עסקה'!$D$72*'הנחות עסקה'!$I$70)/365*12),(-FV('מודל כלכלי'!$C$20,(10+(('הנחות עסקה'!$D$71-'הנחות עסקה'!$D$72)*'הנחות עסקה'!$I$70)/365),,'מודל כלכלי'!$C$53))))+((0.07*(ROUND('מודל כלכלי'!$C$59*(1+0.05)^10,-4)))+(0.13*(ROUND('מודל כלכלי'!$C$59*(1+0.05)^10,-4)))+(-PV(חישובים!$D$21,((('הנחות עסקה'!$D$72*'הנחות עסקה'!$I$70)-30)/365),,((0.7*(ROUND('מודל כלכלי'!$C$59*(1+0.05)^10,-4)))+(((('הנחות עסקה'!$D$72*'הנחות עסקה'!$I$70)-30)/365)*חישובים!$D$23*(0.7*(ROUND('מודל כלכלי'!$C$59*(1+0.05)^10,-4)))*0.5))))+(-PV(חישובים!$D$21,(('הנחות עסקה'!$D$72*'הנחות עסקה'!$I$70)/365),,((0.1*(ROUND('מודל כלכלי'!$C$59*(1+0.05)^10,-4)))+((('הנחות עסקה'!$D$72*'הנחות עסקה'!$I$70)/365)*חישובים!$D$23*(0.1*(ROUND('מודל כלכלי'!$C$59*(1+0.05)^10,-4)))*0.5)))))+(-(((0.07*(ROUND('מודל כלכלי'!$C$59*(1+0.05)^10,-4)))+(0.13*(ROUND('מודל כלכלי'!$C$59*(1+0.05)^10,-4)))+(-PV(חישובים!$D$21,((('הנחות עסקה'!$D$72*'הנחות עסקה'!$I$70)-30)/365),,((0.7*(ROUND('מודל כלכלי'!$C$59*(1+0.05)^10,-4)))+(((('הנחות עסקה'!$D$72*'הנחות עסקה'!$I$70)-30)/365)*חישובים!$D$23*(0.7*(ROUND('מודל כלכלי'!$C$59*(1+0.05)^10,-4)))*0.5))))+(-PV(חישובים!$D$21,(('הנחות עסקה'!$D$72*'הנחות עסקה'!$I$70)/365),,((0.1*(ROUND('מודל כלכלי'!$C$59*(1+0.05)^10,-4)))+((('הנחות עסקה'!$D$72*'הנחות עסקה'!$I$70)/365)*חישובים!$D$23*(0.1*(ROUND('מודל כלכלי'!$C$59*(1+0.05)^10,-4)))*0.5)))))+(-PV(חישובים!$D$21/12,(('הנחות עסקה'!$D$72*'הנחות עסקה'!$I$70)/365*12),(-FV('מודל כלכלי'!$C$20,(10+(('הנחות עסקה'!$D$71-'הנחות עסקה'!$D$72)*'הנחות עסקה'!$I$70)/365),,'מודל כלכלי'!$C$53)))))*היוון!$C$26)),ROUND('מודל כלכלי'!$C$59*(1+0.05)^10,-4)))*'מודל כלכלי'!$C$14-'מודל כלכלי'!$C$68*(IF('מודל כלכלי'!$C$26="פליפ",((-PV(חישובים!$D$21/12,(('הנחות עסקה'!$D$72*'הנחות עסקה'!$I$70)/365*12),(-FV('מודל כלכלי'!$C$20,(10+(('הנחות עסקה'!$D$71-'הנחות עסקה'!$D$72)*'הנחות עסקה'!$I$70)/365),,'מודל כלכלי'!$C$53))))+((0.07*(ROUND('מודל כלכלי'!$C$59*(1+0.05)^10,-4)))+(0.13*(ROUND('מודל כלכלי'!$C$59*(1+0.05)^10,-4)))+(-PV(חישובים!$D$21,((('הנחות עסקה'!$D$72*'הנחות עסקה'!$I$70)-30)/365),,((0.7*(ROUND('מודל כלכלי'!$C$59*(1+0.05)^10,-4)))+(((('הנחות עסקה'!$D$72*'הנחות עסקה'!$I$70)-30)/365)*חישובים!$D$23*(0.7*(ROUND('מודל כלכלי'!$C$59*(1+0.05)^10,-4)))*0.5))))+(-PV(חישובים!$D$21,(('הנחות עסקה'!$D$72*'הנחות עסקה'!$I$70)/365),,((0.1*(ROUND('מודל כלכלי'!$C$59*(1+0.05)^10,-4)))+((('הנחות עסקה'!$D$72*'הנחות עסקה'!$I$70)/365)*חישובים!$D$23*(0.1*(ROUND('מודל כלכלי'!$C$59*(1+0.05)^10,-4)))*0.5)))))+(-(((0.07*(ROUND('מודל כלכלי'!$C$59*(1+0.05)^10,-4)))+(0.13*(ROUND('מודל כלכלי'!$C$59*(1+0.05)^10,-4)))+(-PV(חישובים!$D$21,((('הנחות עסקה'!$D$72*'הנחות עסקה'!$I$70)-30)/365),,((0.7*(ROUND('מודל כלכלי'!$C$59*(1+0.05)^10,-4)))+(((('הנחות עסקה'!$D$72*'הנחות עסקה'!$I$70)-30)/365)*חישובים!$D$23*(0.7*(ROUND('מודל כלכלי'!$C$59*(1+0.05)^10,-4)))*0.5))))+(-PV(חישובים!$D$21,(('הנחות עסקה'!$D$72*'הנחות עסקה'!$I$70)/365),,((0.1*(ROUND('מודל כלכלי'!$C$59*(1+0.05)^10,-4)))+((('הנחות עסקה'!$D$72*'הנחות עסקה'!$I$70)/365)*חישובים!$D$23*(0.1*(ROUND('מודל כלכלי'!$C$59*(1+0.05)^10,-4)))*0.5)))))+(-PV(חישובים!$D$21/12,(('הנחות עסקה'!$D$72*'הנחות עסקה'!$I$70)/365*12),(-FV('מודל כלכלי'!$C$20,(10+(('הנחות עסקה'!$D$71-'הנחות עסקה'!$D$72)*'הנחות עסקה'!$I$70)/365),,'מודל כלכלי'!$C$53)))))*היוון!$C$26)),ROUND('מודל כלכלי'!$C$59*(1+0.05)^10,-4)))*'מודל כלכלי'!$C$14+'מודל כלכלי'!$C$70,-3))+(ROUND(-FV(חישובים!$D$22,10*12,'מודל כלכלי'!$C$55),-3))+(-'מודל כלכלי'!$C$45)+(-MAX(0,(IF('מודל כלכלי'!$C$26="פליפ",((-PV(חישובים!$D$21/12,(('הנחות עסקה'!$D$72*'הנחות עסקה'!$I$70)/365*12),(-FV('מודל כלכלי'!$C$20,(10+(('הנחות עסקה'!$D$71-'הנחות עסקה'!$D$72)*'הנחות עסקה'!$I$70)/365),,'מודל כלכלי'!$C$53))))+((0.07*(ROUND('מודל כלכלי'!$C$59*(1+0.05)^10,-4)))+(0.13*(ROUND('מודל כלכלי'!$C$59*(1+0.05)^10,-4)))+(-PV(חישובים!$D$21,((('הנחות עסקה'!$D$72*'הנחות עסקה'!$I$70)-30)/365),,((0.7*(ROUND('מודל כלכלי'!$C$59*(1+0.05)^10,-4)))+(((('הנחות עסקה'!$D$72*'הנחות עסקה'!$I$70)-30)/365)*חישובים!$D$23*(0.7*(ROUND('מודל כלכלי'!$C$59*(1+0.05)^10,-4)))*0.5))))+(-PV(חישובים!$D$21,(('הנחות עסקה'!$D$72*'הנחות עסקה'!$I$70)/365),,((0.1*(ROUND('מודל כלכלי'!$C$59*(1+0.05)^10,-4)))+((('הנחות עסקה'!$D$72*'הנחות עסקה'!$I$70)/365)*חישובים!$D$23*(0.1*(ROUND('מודל כלכלי'!$C$59*(1+0.05)^10,-4)))*0.5)))))+(-(((0.07*(ROUND('מודל כלכלי'!$C$59*(1+0.05)^10,-4)))+(0.13*(ROUND('מודל כלכלי'!$C$59*(1+0.05)^10,-4)))+(-PV(חישובים!$D$21,((('הנחות עסקה'!$D$72*'הנחות עסקה'!$I$70)-30)/365),,((0.7*(ROUND('מודל כלכלי'!$C$59*(1+0.05)^10,-4)))+(((('הנחות עסקה'!$D$72*'הנחות עסקה'!$I$70)-30)/365)*חישובים!$D$23*(0.7*(ROUND('מודל כלכלי'!$C$59*(1+0.05)^10,-4)))*0.5))))+(-PV(חישובים!$D$21,(('הנחות עסקה'!$D$72*'הנחות עסקה'!$I$70)/365),,((0.1*(ROUND('מודל כלכלי'!$C$59*(1+0.05)^10,-4)))+((('הנחות עסקה'!$D$72*'הנחות עסקה'!$I$70)/365)*חישובים!$D$23*(0.1*(ROUND('מודל כלכלי'!$C$59*(1+0.05)^10,-4)))*0.5)))))+(-PV(חישובים!$D$21/12,(('הנחות עסקה'!$D$72*'הנחות עסקה'!$I$70)/365*12),(-FV('מודל כלכלי'!$C$20,(10+(('הנחות עסקה'!$D$71-'הנחות עסקה'!$D$72)*'הנחות עסקה'!$I$70)/365),,'מודל כלכלי'!$C$53)))))*היוון!$C$26)),ROUND('מודל כלכלי'!$C$59*(1+0.05)^10,-4)))-(חישובים!$D$28*(1+חישובים!$D$29)^10))*0.25),-4))+'מודל כלכלי'!$C$45)/'מודל כלכלי'!$C$45)^(1/10)-1</f>
        <v>0.17723783219431066</v>
      </c>
      <c r="H13" s="59">
        <f>(((ROUND((IF('מודל כלכלי'!$C$26="פליפ",((-PV(חישובים!$D$21/12,(('הנחות עסקה'!$D$72*'הנחות עסקה'!$I$70)/365*12),(-FV('מודל כלכלי'!$C$20,(11+(('הנחות עסקה'!$D$71-'הנחות עסקה'!$D$72)*'הנחות עסקה'!$I$70)/365),,'מודל כלכלי'!$C$53))))+((0.07*(ROUND('מודל כלכלי'!$C$59*(1+0.05)^11,-4)))+(0.13*(ROUND('מודל כלכלי'!$C$59*(1+0.05)^11,-4)))+(-PV(חישובים!$D$21,((('הנחות עסקה'!$D$72*'הנחות עסקה'!$I$70)-30)/365),,((0.7*(ROUND('מודל כלכלי'!$C$59*(1+0.05)^11,-4)))+(((('הנחות עסקה'!$D$72*'הנחות עסקה'!$I$70)-30)/365)*חישובים!$D$23*(0.7*(ROUND('מודל כלכלי'!$C$59*(1+0.05)^11,-4)))*0.5))))+(-PV(חישובים!$D$21,(('הנחות עסקה'!$D$72*'הנחות עסקה'!$I$70)/365),,((0.1*(ROUND('מודל כלכלי'!$C$59*(1+0.05)^11,-4)))+((('הנחות עסקה'!$D$72*'הנחות עסקה'!$I$70)/365)*חישובים!$D$23*(0.1*(ROUND('מודל כלכלי'!$C$59*(1+0.05)^11,-4)))*0.5)))))+(-(((0.07*(ROUND('מודל כלכלי'!$C$59*(1+0.05)^11,-4)))+(0.13*(ROUND('מודל כלכלי'!$C$59*(1+0.05)^11,-4)))+(-PV(חישובים!$D$21,((('הנחות עסקה'!$D$72*'הנחות עסקה'!$I$70)-30)/365),,((0.7*(ROUND('מודל כלכלי'!$C$59*(1+0.05)^11,-4)))+(((('הנחות עסקה'!$D$72*'הנחות עסקה'!$I$70)-30)/365)*חישובים!$D$23*(0.7*(ROUND('מודל כלכלי'!$C$59*(1+0.05)^11,-4)))*0.5))))+(-PV(חישובים!$D$21,(('הנחות עסקה'!$D$72*'הנחות עסקה'!$I$70)/365),,((0.1*(ROUND('מודל כלכלי'!$C$59*(1+0.05)^11,-4)))+((('הנחות עסקה'!$D$72*'הנחות עסקה'!$I$70)/365)*חישובים!$D$23*(0.1*(ROUND('מודל כלכלי'!$C$59*(1+0.05)^11,-4)))*0.5)))))+(-PV(חישובים!$D$21/12,(('הנחות עסקה'!$D$72*'הנחות עסקה'!$I$70)/365*12),(-FV('מודל כלכלי'!$C$20,(11+(('הנחות עסקה'!$D$71-'הנחות עסקה'!$D$72)*'הנחות עסקה'!$I$70)/365),,'מודל כלכלי'!$C$53)))))*היוון!$C$26)),ROUND('מודל כלכלי'!$C$59*(1+0.05)^11,-4)))+(ROUND(FV('מודל כלכלי'!$C$17/12,11*12,'מודל כלכלי'!$C$48,'מודל כלכלי'!$C$46),-4))+(ROUND(-'מודל כלכלי'!$C$66*(IF('מודל כלכלי'!$C$26="פליפ",((-PV(חישובים!$D$21/12,(('הנחות עסקה'!$D$72*'הנחות עסקה'!$I$70)/365*12),(-FV('מודל כלכלי'!$C$20,(11+(('הנחות עסקה'!$D$71-'הנחות עסקה'!$D$72)*'הנחות עסקה'!$I$70)/365),,'מודל כלכלי'!$C$53))))+((0.07*(ROUND('מודל כלכלי'!$C$59*(1+0.05)^11,-4)))+(0.13*(ROUND('מודל כלכלי'!$C$59*(1+0.05)^11,-4)))+(-PV(חישובים!$D$21,((('הנחות עסקה'!$D$72*'הנחות עסקה'!$I$70)-30)/365),,((0.7*(ROUND('מודל כלכלי'!$C$59*(1+0.05)^11,-4)))+(((('הנחות עסקה'!$D$72*'הנחות עסקה'!$I$70)-30)/365)*חישובים!$D$23*(0.7*(ROUND('מודל כלכלי'!$C$59*(1+0.05)^11,-4)))*0.5))))+(-PV(חישובים!$D$21,(('הנחות עסקה'!$D$72*'הנחות עסקה'!$I$70)/365),,((0.1*(ROUND('מודל כלכלי'!$C$59*(1+0.05)^11,-4)))+((('הנחות עסקה'!$D$72*'הנחות עסקה'!$I$70)/365)*חישובים!$D$23*(0.1*(ROUND('מודל כלכלי'!$C$59*(1+0.05)^11,-4)))*0.5)))))+(-(((0.07*(ROUND('מודל כלכלי'!$C$59*(1+0.05)^11,-4)))+(0.13*(ROUND('מודל כלכלי'!$C$59*(1+0.05)^11,-4)))+(-PV(חישובים!$D$21,((('הנחות עסקה'!$D$72*'הנחות עסקה'!$I$70)-30)/365),,((0.7*(ROUND('מודל כלכלי'!$C$59*(1+0.05)^11,-4)))+(((('הנחות עסקה'!$D$72*'הנחות עסקה'!$I$70)-30)/365)*חישובים!$D$23*(0.7*(ROUND('מודל כלכלי'!$C$59*(1+0.05)^11,-4)))*0.5))))+(-PV(חישובים!$D$21,(('הנחות עסקה'!$D$72*'הנחות עסקה'!$I$70)/365),,((0.1*(ROUND('מודל כלכלי'!$C$59*(1+0.05)^11,-4)))+((('הנחות עסקה'!$D$72*'הנחות עסקה'!$I$70)/365)*חישובים!$D$23*(0.1*(ROUND('מודל כלכלי'!$C$59*(1+0.05)^11,-4)))*0.5)))))+(-PV(חישובים!$D$21/12,(('הנחות עסקה'!$D$72*'הנחות עסקה'!$I$70)/365*12),(-FV('מודל כלכלי'!$C$20,(11+(('הנחות עסקה'!$D$71-'הנחות עסקה'!$D$72)*'הנחות עסקה'!$I$70)/365),,'מודל כלכלי'!$C$53)))))*היוון!$C$26)),ROUND('מודל כלכלי'!$C$59*(1+0.05)^11,-4)))*'מודל כלכלי'!$C$14-'מודל כלכלי'!$C$68*(IF('מודל כלכלי'!$C$26="פליפ",((-PV(חישובים!$D$21/12,(('הנחות עסקה'!$D$72*'הנחות עסקה'!$I$70)/365*12),(-FV('מודל כלכלי'!$C$20,(11+(('הנחות עסקה'!$D$71-'הנחות עסקה'!$D$72)*'הנחות עסקה'!$I$70)/365),,'מודל כלכלי'!$C$53))))+((0.07*(ROUND('מודל כלכלי'!$C$59*(1+0.05)^11,-4)))+(0.13*(ROUND('מודל כלכלי'!$C$59*(1+0.05)^11,-4)))+(-PV(חישובים!$D$21,((('הנחות עסקה'!$D$72*'הנחות עסקה'!$I$70)-30)/365),,((0.7*(ROUND('מודל כלכלי'!$C$59*(1+0.05)^11,-4)))+(((('הנחות עסקה'!$D$72*'הנחות עסקה'!$I$70)-30)/365)*חישובים!$D$23*(0.7*(ROUND('מודל כלכלי'!$C$59*(1+0.05)^11,-4)))*0.5))))+(-PV(חישובים!$D$21,(('הנחות עסקה'!$D$72*'הנחות עסקה'!$I$70)/365),,((0.1*(ROUND('מודל כלכלי'!$C$59*(1+0.05)^11,-4)))+((('הנחות עסקה'!$D$72*'הנחות עסקה'!$I$70)/365)*חישובים!$D$23*(0.1*(ROUND('מודל כלכלי'!$C$59*(1+0.05)^11,-4)))*0.5)))))+(-(((0.07*(ROUND('מודל כלכלי'!$C$59*(1+0.05)^11,-4)))+(0.13*(ROUND('מודל כלכלי'!$C$59*(1+0.05)^11,-4)))+(-PV(חישובים!$D$21,((('הנחות עסקה'!$D$72*'הנחות עסקה'!$I$70)-30)/365),,((0.7*(ROUND('מודל כלכלי'!$C$59*(1+0.05)^11,-4)))+(((('הנחות עסקה'!$D$72*'הנחות עסקה'!$I$70)-30)/365)*חישובים!$D$23*(0.7*(ROUND('מודל כלכלי'!$C$59*(1+0.05)^11,-4)))*0.5))))+(-PV(חישובים!$D$21,(('הנחות עסקה'!$D$72*'הנחות עסקה'!$I$70)/365),,((0.1*(ROUND('מודל כלכלי'!$C$59*(1+0.05)^11,-4)))+((('הנחות עסקה'!$D$72*'הנחות עסקה'!$I$70)/365)*חישובים!$D$23*(0.1*(ROUND('מודל כלכלי'!$C$59*(1+0.05)^11,-4)))*0.5)))))+(-PV(חישובים!$D$21/12,(('הנחות עסקה'!$D$72*'הנחות עסקה'!$I$70)/365*12),(-FV('מודל כלכלי'!$C$20,(11+(('הנחות עסקה'!$D$71-'הנחות עסקה'!$D$72)*'הנחות עסקה'!$I$70)/365),,'מודל כלכלי'!$C$53)))))*היוון!$C$26)),ROUND('מודל כלכלי'!$C$59*(1+0.05)^11,-4)))*'מודל כלכלי'!$C$14+'מודל כלכלי'!$C$70,-3))+(ROUND(-FV(חישובים!$D$22,11*12,'מודל כלכלי'!$C$55),-3))+(-'מודל כלכלי'!$C$45)+(-MAX(0,(IF('מודל כלכלי'!$C$26="פליפ",((-PV(חישובים!$D$21/12,(('הנחות עסקה'!$D$72*'הנחות עסקה'!$I$70)/365*12),(-FV('מודל כלכלי'!$C$20,(11+(('הנחות עסקה'!$D$71-'הנחות עסקה'!$D$72)*'הנחות עסקה'!$I$70)/365),,'מודל כלכלי'!$C$53))))+((0.07*(ROUND('מודל כלכלי'!$C$59*(1+0.05)^11,-4)))+(0.13*(ROUND('מודל כלכלי'!$C$59*(1+0.05)^11,-4)))+(-PV(חישובים!$D$21,((('הנחות עסקה'!$D$72*'הנחות עסקה'!$I$70)-30)/365),,((0.7*(ROUND('מודל כלכלי'!$C$59*(1+0.05)^11,-4)))+(((('הנחות עסקה'!$D$72*'הנחות עסקה'!$I$70)-30)/365)*חישובים!$D$23*(0.7*(ROUND('מודל כלכלי'!$C$59*(1+0.05)^11,-4)))*0.5))))+(-PV(חישובים!$D$21,(('הנחות עסקה'!$D$72*'הנחות עסקה'!$I$70)/365),,((0.1*(ROUND('מודל כלכלי'!$C$59*(1+0.05)^11,-4)))+((('הנחות עסקה'!$D$72*'הנחות עסקה'!$I$70)/365)*חישובים!$D$23*(0.1*(ROUND('מודל כלכלי'!$C$59*(1+0.05)^11,-4)))*0.5)))))+(-(((0.07*(ROUND('מודל כלכלי'!$C$59*(1+0.05)^11,-4)))+(0.13*(ROUND('מודל כלכלי'!$C$59*(1+0.05)^11,-4)))+(-PV(חישובים!$D$21,((('הנחות עסקה'!$D$72*'הנחות עסקה'!$I$70)-30)/365),,((0.7*(ROUND('מודל כלכלי'!$C$59*(1+0.05)^11,-4)))+(((('הנחות עסקה'!$D$72*'הנחות עסקה'!$I$70)-30)/365)*חישובים!$D$23*(0.7*(ROUND('מודל כלכלי'!$C$59*(1+0.05)^11,-4)))*0.5))))+(-PV(חישובים!$D$21,(('הנחות עסקה'!$D$72*'הנחות עסקה'!$I$70)/365),,((0.1*(ROUND('מודל כלכלי'!$C$59*(1+0.05)^11,-4)))+((('הנחות עסקה'!$D$72*'הנחות עסקה'!$I$70)/365)*חישובים!$D$23*(0.1*(ROUND('מודל כלכלי'!$C$59*(1+0.05)^11,-4)))*0.5)))))+(-PV(חישובים!$D$21/12,(('הנחות עסקה'!$D$72*'הנחות עסקה'!$I$70)/365*12),(-FV('מודל כלכלי'!$C$20,(11+(('הנחות עסקה'!$D$71-'הנחות עסקה'!$D$72)*'הנחות עסקה'!$I$70)/365),,'מודל כלכלי'!$C$53)))))*היוון!$C$26)),ROUND('מודל כלכלי'!$C$59*(1+0.05)^11,-4)))-(חישובים!$D$28*(1+חישובים!$D$29)^11))*0.25),-4))+'מודל כלכלי'!$C$45)/'מודל כלכלי'!$C$45)^(1/11)-1</f>
        <v>0.16659346830888389</v>
      </c>
      <c r="I13" s="59">
        <f>(((ROUND((IF('מודל כלכלי'!$C$26="פליפ",((-PV(חישובים!$D$21/12,(('הנחות עסקה'!$D$72*'הנחות עסקה'!$I$70)/365*12),(-FV('מודל כלכלי'!$C$20,(12+(('הנחות עסקה'!$D$71-'הנחות עסקה'!$D$72)*'הנחות עסקה'!$I$70)/365),,'מודל כלכלי'!$C$53))))+((0.07*(ROUND('מודל כלכלי'!$C$59*(1+0.05)^12,-4)))+(0.13*(ROUND('מודל כלכלי'!$C$59*(1+0.05)^12,-4)))+(-PV(חישובים!$D$21,((('הנחות עסקה'!$D$72*'הנחות עסקה'!$I$70)-30)/365),,((0.7*(ROUND('מודל כלכלי'!$C$59*(1+0.05)^12,-4)))+(((('הנחות עסקה'!$D$72*'הנחות עסקה'!$I$70)-30)/365)*חישובים!$D$23*(0.7*(ROUND('מודל כלכלי'!$C$59*(1+0.05)^12,-4)))*0.5))))+(-PV(חישובים!$D$21,(('הנחות עסקה'!$D$72*'הנחות עסקה'!$I$70)/365),,((0.1*(ROUND('מודל כלכלי'!$C$59*(1+0.05)^12,-4)))+((('הנחות עסקה'!$D$72*'הנחות עסקה'!$I$70)/365)*חישובים!$D$23*(0.1*(ROUND('מודל כלכלי'!$C$59*(1+0.05)^12,-4)))*0.5)))))+(-(((0.07*(ROUND('מודל כלכלי'!$C$59*(1+0.05)^12,-4)))+(0.13*(ROUND('מודל כלכלי'!$C$59*(1+0.05)^12,-4)))+(-PV(חישובים!$D$21,((('הנחות עסקה'!$D$72*'הנחות עסקה'!$I$70)-30)/365),,((0.7*(ROUND('מודל כלכלי'!$C$59*(1+0.05)^12,-4)))+(((('הנחות עסקה'!$D$72*'הנחות עסקה'!$I$70)-30)/365)*חישובים!$D$23*(0.7*(ROUND('מודל כלכלי'!$C$59*(1+0.05)^12,-4)))*0.5))))+(-PV(חישובים!$D$21,(('הנחות עסקה'!$D$72*'הנחות עסקה'!$I$70)/365),,((0.1*(ROUND('מודל כלכלי'!$C$59*(1+0.05)^12,-4)))+((('הנחות עסקה'!$D$72*'הנחות עסקה'!$I$70)/365)*חישובים!$D$23*(0.1*(ROUND('מודל כלכלי'!$C$59*(1+0.05)^12,-4)))*0.5)))))+(-PV(חישובים!$D$21/12,(('הנחות עסקה'!$D$72*'הנחות עסקה'!$I$70)/365*12),(-FV('מודל כלכלי'!$C$20,(12+(('הנחות עסקה'!$D$71-'הנחות עסקה'!$D$72)*'הנחות עסקה'!$I$70)/365),,'מודל כלכלי'!$C$53)))))*היוון!$C$26)),ROUND('מודל כלכלי'!$C$59*(1+0.05)^12,-4)))+(ROUND(FV('מודל כלכלי'!$C$17/12,12*12,'מודל כלכלי'!$C$48,'מודל כלכלי'!$C$46),-4))+(ROUND(-'מודל כלכלי'!$C$66*(IF('מודל כלכלי'!$C$26="פליפ",((-PV(חישובים!$D$21/12,(('הנחות עסקה'!$D$72*'הנחות עסקה'!$I$70)/365*12),(-FV('מודל כלכלי'!$C$20,(12+(('הנחות עסקה'!$D$71-'הנחות עסקה'!$D$72)*'הנחות עסקה'!$I$70)/365),,'מודל כלכלי'!$C$53))))+((0.07*(ROUND('מודל כלכלי'!$C$59*(1+0.05)^12,-4)))+(0.13*(ROUND('מודל כלכלי'!$C$59*(1+0.05)^12,-4)))+(-PV(חישובים!$D$21,((('הנחות עסקה'!$D$72*'הנחות עסקה'!$I$70)-30)/365),,((0.7*(ROUND('מודל כלכלי'!$C$59*(1+0.05)^12,-4)))+(((('הנחות עסקה'!$D$72*'הנחות עסקה'!$I$70)-30)/365)*חישובים!$D$23*(0.7*(ROUND('מודל כלכלי'!$C$59*(1+0.05)^12,-4)))*0.5))))+(-PV(חישובים!$D$21,(('הנחות עסקה'!$D$72*'הנחות עסקה'!$I$70)/365),,((0.1*(ROUND('מודל כלכלי'!$C$59*(1+0.05)^12,-4)))+((('הנחות עסקה'!$D$72*'הנחות עסקה'!$I$70)/365)*חישובים!$D$23*(0.1*(ROUND('מודל כלכלי'!$C$59*(1+0.05)^12,-4)))*0.5)))))+(-(((0.07*(ROUND('מודל כלכלי'!$C$59*(1+0.05)^12,-4)))+(0.13*(ROUND('מודל כלכלי'!$C$59*(1+0.05)^12,-4)))+(-PV(חישובים!$D$21,((('הנחות עסקה'!$D$72*'הנחות עסקה'!$I$70)-30)/365),,((0.7*(ROUND('מודל כלכלי'!$C$59*(1+0.05)^12,-4)))+(((('הנחות עסקה'!$D$72*'הנחות עסקה'!$I$70)-30)/365)*חישובים!$D$23*(0.7*(ROUND('מודל כלכלי'!$C$59*(1+0.05)^12,-4)))*0.5))))+(-PV(חישובים!$D$21,(('הנחות עסקה'!$D$72*'הנחות עסקה'!$I$70)/365),,((0.1*(ROUND('מודל כלכלי'!$C$59*(1+0.05)^12,-4)))+((('הנחות עסקה'!$D$72*'הנחות עסקה'!$I$70)/365)*חישובים!$D$23*(0.1*(ROUND('מודל כלכלי'!$C$59*(1+0.05)^12,-4)))*0.5)))))+(-PV(חישובים!$D$21/12,(('הנחות עסקה'!$D$72*'הנחות עסקה'!$I$70)/365*12),(-FV('מודל כלכלי'!$C$20,(12+(('הנחות עסקה'!$D$71-'הנחות עסקה'!$D$72)*'הנחות עסקה'!$I$70)/365),,'מודל כלכלי'!$C$53)))))*היוון!$C$26)),ROUND('מודל כלכלי'!$C$59*(1+0.05)^12,-4)))*'מודל כלכלי'!$C$14-'מודל כלכלי'!$C$68*(IF('מודל כלכלי'!$C$26="פליפ",((-PV(חישובים!$D$21/12,(('הנחות עסקה'!$D$72*'הנחות עסקה'!$I$70)/365*12),(-FV('מודל כלכלי'!$C$20,(12+(('הנחות עסקה'!$D$71-'הנחות עסקה'!$D$72)*'הנחות עסקה'!$I$70)/365),,'מודל כלכלי'!$C$53))))+((0.07*(ROUND('מודל כלכלי'!$C$59*(1+0.05)^12,-4)))+(0.13*(ROUND('מודל כלכלי'!$C$59*(1+0.05)^12,-4)))+(-PV(חישובים!$D$21,((('הנחות עסקה'!$D$72*'הנחות עסקה'!$I$70)-30)/365),,((0.7*(ROUND('מודל כלכלי'!$C$59*(1+0.05)^12,-4)))+(((('הנחות עסקה'!$D$72*'הנחות עסקה'!$I$70)-30)/365)*חישובים!$D$23*(0.7*(ROUND('מודל כלכלי'!$C$59*(1+0.05)^12,-4)))*0.5))))+(-PV(חישובים!$D$21,(('הנחות עסקה'!$D$72*'הנחות עסקה'!$I$70)/365),,((0.1*(ROUND('מודל כלכלי'!$C$59*(1+0.05)^12,-4)))+((('הנחות עסקה'!$D$72*'הנחות עסקה'!$I$70)/365)*חישובים!$D$23*(0.1*(ROUND('מודל כלכלי'!$C$59*(1+0.05)^12,-4)))*0.5)))))+(-(((0.07*(ROUND('מודל כלכלי'!$C$59*(1+0.05)^12,-4)))+(0.13*(ROUND('מודל כלכלי'!$C$59*(1+0.05)^12,-4)))+(-PV(חישובים!$D$21,((('הנחות עסקה'!$D$72*'הנחות עסקה'!$I$70)-30)/365),,((0.7*(ROUND('מודל כלכלי'!$C$59*(1+0.05)^12,-4)))+(((('הנחות עסקה'!$D$72*'הנחות עסקה'!$I$70)-30)/365)*חישובים!$D$23*(0.7*(ROUND('מודל כלכלי'!$C$59*(1+0.05)^12,-4)))*0.5))))+(-PV(חישובים!$D$21,(('הנחות עסקה'!$D$72*'הנחות עסקה'!$I$70)/365),,((0.1*(ROUND('מודל כלכלי'!$C$59*(1+0.05)^12,-4)))+((('הנחות עסקה'!$D$72*'הנחות עסקה'!$I$70)/365)*חישובים!$D$23*(0.1*(ROUND('מודל כלכלי'!$C$59*(1+0.05)^12,-4)))*0.5)))))+(-PV(חישובים!$D$21/12,(('הנחות עסקה'!$D$72*'הנחות עסקה'!$I$70)/365*12),(-FV('מודל כלכלי'!$C$20,(12+(('הנחות עסקה'!$D$71-'הנחות עסקה'!$D$72)*'הנחות עסקה'!$I$70)/365),,'מודל כלכלי'!$C$53)))))*היוון!$C$26)),ROUND('מודל כלכלי'!$C$59*(1+0.05)^12,-4)))*'מודל כלכלי'!$C$14+'מודל כלכלי'!$C$70,-3))+(ROUND(-FV(חישובים!$D$22,12*12,'מודל כלכלי'!$C$55),-3))+(-'מודל כלכלי'!$C$45)+(-MAX(0,(IF('מודל כלכלי'!$C$26="פליפ",((-PV(חישובים!$D$21/12,(('הנחות עסקה'!$D$72*'הנחות עסקה'!$I$70)/365*12),(-FV('מודל כלכלי'!$C$20,(12+(('הנחות עסקה'!$D$71-'הנחות עסקה'!$D$72)*'הנחות עסקה'!$I$70)/365),,'מודל כלכלי'!$C$53))))+((0.07*(ROUND('מודל כלכלי'!$C$59*(1+0.05)^12,-4)))+(0.13*(ROUND('מודל כלכלי'!$C$59*(1+0.05)^12,-4)))+(-PV(חישובים!$D$21,((('הנחות עסקה'!$D$72*'הנחות עסקה'!$I$70)-30)/365),,((0.7*(ROUND('מודל כלכלי'!$C$59*(1+0.05)^12,-4)))+(((('הנחות עסקה'!$D$72*'הנחות עסקה'!$I$70)-30)/365)*חישובים!$D$23*(0.7*(ROUND('מודל כלכלי'!$C$59*(1+0.05)^12,-4)))*0.5))))+(-PV(חישובים!$D$21,(('הנחות עסקה'!$D$72*'הנחות עסקה'!$I$70)/365),,((0.1*(ROUND('מודל כלכלי'!$C$59*(1+0.05)^12,-4)))+((('הנחות עסקה'!$D$72*'הנחות עסקה'!$I$70)/365)*חישובים!$D$23*(0.1*(ROUND('מודל כלכלי'!$C$59*(1+0.05)^12,-4)))*0.5)))))+(-(((0.07*(ROUND('מודל כלכלי'!$C$59*(1+0.05)^12,-4)))+(0.13*(ROUND('מודל כלכלי'!$C$59*(1+0.05)^12,-4)))+(-PV(חישובים!$D$21,((('הנחות עסקה'!$D$72*'הנחות עסקה'!$I$70)-30)/365),,((0.7*(ROUND('מודל כלכלי'!$C$59*(1+0.05)^12,-4)))+(((('הנחות עסקה'!$D$72*'הנחות עסקה'!$I$70)-30)/365)*חישובים!$D$23*(0.7*(ROUND('מודל כלכלי'!$C$59*(1+0.05)^12,-4)))*0.5))))+(-PV(חישובים!$D$21,(('הנחות עסקה'!$D$72*'הנחות עסקה'!$I$70)/365),,((0.1*(ROUND('מודל כלכלי'!$C$59*(1+0.05)^12,-4)))+((('הנחות עסקה'!$D$72*'הנחות עסקה'!$I$70)/365)*חישובים!$D$23*(0.1*(ROUND('מודל כלכלי'!$C$59*(1+0.05)^12,-4)))*0.5)))))+(-PV(חישובים!$D$21/12,(('הנחות עסקה'!$D$72*'הנחות עסקה'!$I$70)/365*12),(-FV('מודל כלכלי'!$C$20,(12+(('הנחות עסקה'!$D$71-'הנחות עסקה'!$D$72)*'הנחות עסקה'!$I$70)/365),,'מודל כלכלי'!$C$53)))))*היוון!$C$26)),ROUND('מודל כלכלי'!$C$59*(1+0.05)^12,-4)))-(חישובים!$D$28*(1+חישובים!$D$29)^12))*0.25),-4))+'מודל כלכלי'!$C$45)/'מודל כלכלי'!$C$45)^(1/12)-1</f>
        <v>0.15793879014816969</v>
      </c>
      <c r="J13" s="59">
        <f>(((ROUND((IF('מודל כלכלי'!$C$26="פליפ",((-PV(חישובים!$D$21/12,(('הנחות עסקה'!$D$72*'הנחות עסקה'!$I$70)/365*12),(-FV('מודל כלכלי'!$C$20,(13+(('הנחות עסקה'!$D$71-'הנחות עסקה'!$D$72)*'הנחות עסקה'!$I$70)/365),,'מודל כלכלי'!$C$53))))+((0.07*(ROUND('מודל כלכלי'!$C$59*(1+0.05)^13,-4)))+(0.13*(ROUND('מודל כלכלי'!$C$59*(1+0.05)^13,-4)))+(-PV(חישובים!$D$21,((('הנחות עסקה'!$D$72*'הנחות עסקה'!$I$70)-30)/365),,((0.7*(ROUND('מודל כלכלי'!$C$59*(1+0.05)^13,-4)))+(((('הנחות עסקה'!$D$72*'הנחות עסקה'!$I$70)-30)/365)*חישובים!$D$23*(0.7*(ROUND('מודל כלכלי'!$C$59*(1+0.05)^13,-4)))*0.5))))+(-PV(חישובים!$D$21,(('הנחות עסקה'!$D$72*'הנחות עסקה'!$I$70)/365),,((0.1*(ROUND('מודל כלכלי'!$C$59*(1+0.05)^13,-4)))+((('הנחות עסקה'!$D$72*'הנחות עסקה'!$I$70)/365)*חישובים!$D$23*(0.1*(ROUND('מודל כלכלי'!$C$59*(1+0.05)^13,-4)))*0.5)))))+(-(((0.07*(ROUND('מודל כלכלי'!$C$59*(1+0.05)^13,-4)))+(0.13*(ROUND('מודל כלכלי'!$C$59*(1+0.05)^13,-4)))+(-PV(חישובים!$D$21,((('הנחות עסקה'!$D$72*'הנחות עסקה'!$I$70)-30)/365),,((0.7*(ROUND('מודל כלכלי'!$C$59*(1+0.05)^13,-4)))+(((('הנחות עסקה'!$D$72*'הנחות עסקה'!$I$70)-30)/365)*חישובים!$D$23*(0.7*(ROUND('מודל כלכלי'!$C$59*(1+0.05)^13,-4)))*0.5))))+(-PV(חישובים!$D$21,(('הנחות עסקה'!$D$72*'הנחות עסקה'!$I$70)/365),,((0.1*(ROUND('מודל כלכלי'!$C$59*(1+0.05)^13,-4)))+((('הנחות עסקה'!$D$72*'הנחות עסקה'!$I$70)/365)*חישובים!$D$23*(0.1*(ROUND('מודל כלכלי'!$C$59*(1+0.05)^13,-4)))*0.5)))))+(-PV(חישובים!$D$21/12,(('הנחות עסקה'!$D$72*'הנחות עסקה'!$I$70)/365*12),(-FV('מודל כלכלי'!$C$20,(13+(('הנחות עסקה'!$D$71-'הנחות עסקה'!$D$72)*'הנחות עסקה'!$I$70)/365),,'מודל כלכלי'!$C$53)))))*היוון!$C$26)),ROUND('מודל כלכלי'!$C$59*(1+0.05)^13,-4)))+(ROUND(FV('מודל כלכלי'!$C$17/12,13*12,'מודל כלכלי'!$C$48,'מודל כלכלי'!$C$46),-4))+(ROUND(-'מודל כלכלי'!$C$66*(IF('מודל כלכלי'!$C$26="פליפ",((-PV(חישובים!$D$21/12,(('הנחות עסקה'!$D$72*'הנחות עסקה'!$I$70)/365*12),(-FV('מודל כלכלי'!$C$20,(13+(('הנחות עסקה'!$D$71-'הנחות עסקה'!$D$72)*'הנחות עסקה'!$I$70)/365),,'מודל כלכלי'!$C$53))))+((0.07*(ROUND('מודל כלכלי'!$C$59*(1+0.05)^13,-4)))+(0.13*(ROUND('מודל כלכלי'!$C$59*(1+0.05)^13,-4)))+(-PV(חישובים!$D$21,((('הנחות עסקה'!$D$72*'הנחות עסקה'!$I$70)-30)/365),,((0.7*(ROUND('מודל כלכלי'!$C$59*(1+0.05)^13,-4)))+(((('הנחות עסקה'!$D$72*'הנחות עסקה'!$I$70)-30)/365)*חישובים!$D$23*(0.7*(ROUND('מודל כלכלי'!$C$59*(1+0.05)^13,-4)))*0.5))))+(-PV(חישובים!$D$21,(('הנחות עסקה'!$D$72*'הנחות עסקה'!$I$70)/365),,((0.1*(ROUND('מודל כלכלי'!$C$59*(1+0.05)^13,-4)))+((('הנחות עסקה'!$D$72*'הנחות עסקה'!$I$70)/365)*חישובים!$D$23*(0.1*(ROUND('מודל כלכלי'!$C$59*(1+0.05)^13,-4)))*0.5)))))+(-(((0.07*(ROUND('מודל כלכלי'!$C$59*(1+0.05)^13,-4)))+(0.13*(ROUND('מודל כלכלי'!$C$59*(1+0.05)^13,-4)))+(-PV(חישובים!$D$21,((('הנחות עסקה'!$D$72*'הנחות עסקה'!$I$70)-30)/365),,((0.7*(ROUND('מודל כלכלי'!$C$59*(1+0.05)^13,-4)))+(((('הנחות עסקה'!$D$72*'הנחות עסקה'!$I$70)-30)/365)*חישובים!$D$23*(0.7*(ROUND('מודל כלכלי'!$C$59*(1+0.05)^13,-4)))*0.5))))+(-PV(חישובים!$D$21,(('הנחות עסקה'!$D$72*'הנחות עסקה'!$I$70)/365),,((0.1*(ROUND('מודל כלכלי'!$C$59*(1+0.05)^13,-4)))+((('הנחות עסקה'!$D$72*'הנחות עסקה'!$I$70)/365)*חישובים!$D$23*(0.1*(ROUND('מודל כלכלי'!$C$59*(1+0.05)^13,-4)))*0.5)))))+(-PV(חישובים!$D$21/12,(('הנחות עסקה'!$D$72*'הנחות עסקה'!$I$70)/365*12),(-FV('מודל כלכלי'!$C$20,(13+(('הנחות עסקה'!$D$71-'הנחות עסקה'!$D$72)*'הנחות עסקה'!$I$70)/365),,'מודל כלכלי'!$C$53)))))*היוון!$C$26)),ROUND('מודל כלכלי'!$C$59*(1+0.05)^13,-4)))*'מודל כלכלי'!$C$14-'מודל כלכלי'!$C$68*(IF('מודל כלכלי'!$C$26="פליפ",((-PV(חישובים!$D$21/12,(('הנחות עסקה'!$D$72*'הנחות עסקה'!$I$70)/365*12),(-FV('מודל כלכלי'!$C$20,(13+(('הנחות עסקה'!$D$71-'הנחות עסקה'!$D$72)*'הנחות עסקה'!$I$70)/365),,'מודל כלכלי'!$C$53))))+((0.07*(ROUND('מודל כלכלי'!$C$59*(1+0.05)^13,-4)))+(0.13*(ROUND('מודל כלכלי'!$C$59*(1+0.05)^13,-4)))+(-PV(חישובים!$D$21,((('הנחות עסקה'!$D$72*'הנחות עסקה'!$I$70)-30)/365),,((0.7*(ROUND('מודל כלכלי'!$C$59*(1+0.05)^13,-4)))+(((('הנחות עסקה'!$D$72*'הנחות עסקה'!$I$70)-30)/365)*חישובים!$D$23*(0.7*(ROUND('מודל כלכלי'!$C$59*(1+0.05)^13,-4)))*0.5))))+(-PV(חישובים!$D$21,(('הנחות עסקה'!$D$72*'הנחות עסקה'!$I$70)/365),,((0.1*(ROUND('מודל כלכלי'!$C$59*(1+0.05)^13,-4)))+((('הנחות עסקה'!$D$72*'הנחות עסקה'!$I$70)/365)*חישובים!$D$23*(0.1*(ROUND('מודל כלכלי'!$C$59*(1+0.05)^13,-4)))*0.5)))))+(-(((0.07*(ROUND('מודל כלכלי'!$C$59*(1+0.05)^13,-4)))+(0.13*(ROUND('מודל כלכלי'!$C$59*(1+0.05)^13,-4)))+(-PV(חישובים!$D$21,((('הנחות עסקה'!$D$72*'הנחות עסקה'!$I$70)-30)/365),,((0.7*(ROUND('מודל כלכלי'!$C$59*(1+0.05)^13,-4)))+(((('הנחות עסקה'!$D$72*'הנחות עסקה'!$I$70)-30)/365)*חישובים!$D$23*(0.7*(ROUND('מודל כלכלי'!$C$59*(1+0.05)^13,-4)))*0.5))))+(-PV(חישובים!$D$21,(('הנחות עסקה'!$D$72*'הנחות עסקה'!$I$70)/365),,((0.1*(ROUND('מודל כלכלי'!$C$59*(1+0.05)^13,-4)))+((('הנחות עסקה'!$D$72*'הנחות עסקה'!$I$70)/365)*חישובים!$D$23*(0.1*(ROUND('מודל כלכלי'!$C$59*(1+0.05)^13,-4)))*0.5)))))+(-PV(חישובים!$D$21/12,(('הנחות עסקה'!$D$72*'הנחות עסקה'!$I$70)/365*12),(-FV('מודל כלכלי'!$C$20,(13+(('הנחות עסקה'!$D$71-'הנחות עסקה'!$D$72)*'הנחות עסקה'!$I$70)/365),,'מודל כלכלי'!$C$53)))))*היוון!$C$26)),ROUND('מודל כלכלי'!$C$59*(1+0.05)^13,-4)))*'מודל כלכלי'!$C$14+'מודל כלכלי'!$C$70,-3))+(ROUND(-FV(חישובים!$D$22,13*12,'מודל כלכלי'!$C$55),-3))+(-'מודל כלכלי'!$C$45)+(-MAX(0,(IF('מודל כלכלי'!$C$26="פליפ",((-PV(חישובים!$D$21/12,(('הנחות עסקה'!$D$72*'הנחות עסקה'!$I$70)/365*12),(-FV('מודל כלכלי'!$C$20,(13+(('הנחות עסקה'!$D$71-'הנחות עסקה'!$D$72)*'הנחות עסקה'!$I$70)/365),,'מודל כלכלי'!$C$53))))+((0.07*(ROUND('מודל כלכלי'!$C$59*(1+0.05)^13,-4)))+(0.13*(ROUND('מודל כלכלי'!$C$59*(1+0.05)^13,-4)))+(-PV(חישובים!$D$21,((('הנחות עסקה'!$D$72*'הנחות עסקה'!$I$70)-30)/365),,((0.7*(ROUND('מודל כלכלי'!$C$59*(1+0.05)^13,-4)))+(((('הנחות עסקה'!$D$72*'הנחות עסקה'!$I$70)-30)/365)*חישובים!$D$23*(0.7*(ROUND('מודל כלכלי'!$C$59*(1+0.05)^13,-4)))*0.5))))+(-PV(חישובים!$D$21,(('הנחות עסקה'!$D$72*'הנחות עסקה'!$I$70)/365),,((0.1*(ROUND('מודל כלכלי'!$C$59*(1+0.05)^13,-4)))+((('הנחות עסקה'!$D$72*'הנחות עסקה'!$I$70)/365)*חישובים!$D$23*(0.1*(ROUND('מודל כלכלי'!$C$59*(1+0.05)^13,-4)))*0.5)))))+(-(((0.07*(ROUND('מודל כלכלי'!$C$59*(1+0.05)^13,-4)))+(0.13*(ROUND('מודל כלכלי'!$C$59*(1+0.05)^13,-4)))+(-PV(חישובים!$D$21,((('הנחות עסקה'!$D$72*'הנחות עסקה'!$I$70)-30)/365),,((0.7*(ROUND('מודל כלכלי'!$C$59*(1+0.05)^13,-4)))+(((('הנחות עסקה'!$D$72*'הנחות עסקה'!$I$70)-30)/365)*חישובים!$D$23*(0.7*(ROUND('מודל כלכלי'!$C$59*(1+0.05)^13,-4)))*0.5))))+(-PV(חישובים!$D$21,(('הנחות עסקה'!$D$72*'הנחות עסקה'!$I$70)/365),,((0.1*(ROUND('מודל כלכלי'!$C$59*(1+0.05)^13,-4)))+((('הנחות עסקה'!$D$72*'הנחות עסקה'!$I$70)/365)*חישובים!$D$23*(0.1*(ROUND('מודל כלכלי'!$C$59*(1+0.05)^13,-4)))*0.5)))))+(-PV(חישובים!$D$21/12,(('הנחות עסקה'!$D$72*'הנחות עסקה'!$I$70)/365*12),(-FV('מודל כלכלי'!$C$20,(13+(('הנחות עסקה'!$D$71-'הנחות עסקה'!$D$72)*'הנחות עסקה'!$I$70)/365),,'מודל כלכלי'!$C$53)))))*היוון!$C$26)),ROUND('מודל כלכלי'!$C$59*(1+0.05)^13,-4)))-(חישובים!$D$28*(1+חישובים!$D$29)^13))*0.25),-4))+'מודל כלכלי'!$C$45)/'מודל כלכלי'!$C$45)^(1/13)-1</f>
        <v>0.15053460630672189</v>
      </c>
    </row>
    <row r="14" spans="2:12" ht="15" customHeight="1">
      <c r="B14" s="74">
        <v>0.06</v>
      </c>
      <c r="C14" s="59">
        <f>(((ROUND((IF('מודל כלכלי'!$C$26="פליפ",((-PV(חישובים!$D$21/12,(('הנחות עסקה'!$D$72*'הנחות עסקה'!$I$70)/365*12),(-FV('מודל כלכלי'!$C$20,(6+(('הנחות עסקה'!$D$71-'הנחות עסקה'!$D$72)*'הנחות עסקה'!$I$70)/365),,'מודל כלכלי'!$C$53))))+((0.07*(ROUND('מודל כלכלי'!$C$59*(1+0.06)^6,-4)))+(0.13*(ROUND('מודל כלכלי'!$C$59*(1+0.06)^6,-4)))+(-PV(חישובים!$D$21,((('הנחות עסקה'!$D$72*'הנחות עסקה'!$I$70)-30)/365),,((0.7*(ROUND('מודל כלכלי'!$C$59*(1+0.06)^6,-4)))+(((('הנחות עסקה'!$D$72*'הנחות עסקה'!$I$70)-30)/365)*חישובים!$D$23*(0.7*(ROUND('מודל כלכלי'!$C$59*(1+0.06)^6,-4)))*0.5))))+(-PV(חישובים!$D$21,(('הנחות עסקה'!$D$72*'הנחות עסקה'!$I$70)/365),,((0.1*(ROUND('מודל כלכלי'!$C$59*(1+0.06)^6,-4)))+((('הנחות עסקה'!$D$72*'הנחות עסקה'!$I$70)/365)*חישובים!$D$23*(0.1*(ROUND('מודל כלכלי'!$C$59*(1+0.06)^6,-4)))*0.5)))))+(-(((0.07*(ROUND('מודל כלכלי'!$C$59*(1+0.06)^6,-4)))+(0.13*(ROUND('מודל כלכלי'!$C$59*(1+0.06)^6,-4)))+(-PV(חישובים!$D$21,((('הנחות עסקה'!$D$72*'הנחות עסקה'!$I$70)-30)/365),,((0.7*(ROUND('מודל כלכלי'!$C$59*(1+0.06)^6,-4)))+(((('הנחות עסקה'!$D$72*'הנחות עסקה'!$I$70)-30)/365)*חישובים!$D$23*(0.7*(ROUND('מודל כלכלי'!$C$59*(1+0.06)^6,-4)))*0.5))))+(-PV(חישובים!$D$21,(('הנחות עסקה'!$D$72*'הנחות עסקה'!$I$70)/365),,((0.1*(ROUND('מודל כלכלי'!$C$59*(1+0.06)^6,-4)))+((('הנחות עסקה'!$D$72*'הנחות עסקה'!$I$70)/365)*חישובים!$D$23*(0.1*(ROUND('מודל כלכלי'!$C$59*(1+0.06)^6,-4)))*0.5)))))+(-PV(חישובים!$D$21/12,(('הנחות עסקה'!$D$72*'הנחות עסקה'!$I$70)/365*12),(-FV('מודל כלכלי'!$C$20,(6+(('הנחות עסקה'!$D$71-'הנחות עסקה'!$D$72)*'הנחות עסקה'!$I$70)/365),,'מודל כלכלי'!$C$53)))))*היוון!$C$26)),ROUND('מודל כלכלי'!$C$59*(1+0.06)^6,-4)))+(ROUND(FV('מודל כלכלי'!$C$17/12,6*12,'מודל כלכלי'!$C$48,'מודל כלכלי'!$C$46),-4))+(ROUND(-'מודל כלכלי'!$C$66*(IF('מודל כלכלי'!$C$26="פליפ",((-PV(חישובים!$D$21/12,(('הנחות עסקה'!$D$72*'הנחות עסקה'!$I$70)/365*12),(-FV('מודל כלכלי'!$C$20,(6+(('הנחות עסקה'!$D$71-'הנחות עסקה'!$D$72)*'הנחות עסקה'!$I$70)/365),,'מודל כלכלי'!$C$53))))+((0.07*(ROUND('מודל כלכלי'!$C$59*(1+0.06)^6,-4)))+(0.13*(ROUND('מודל כלכלי'!$C$59*(1+0.06)^6,-4)))+(-PV(חישובים!$D$21,((('הנחות עסקה'!$D$72*'הנחות עסקה'!$I$70)-30)/365),,((0.7*(ROUND('מודל כלכלי'!$C$59*(1+0.06)^6,-4)))+(((('הנחות עסקה'!$D$72*'הנחות עסקה'!$I$70)-30)/365)*חישובים!$D$23*(0.7*(ROUND('מודל כלכלי'!$C$59*(1+0.06)^6,-4)))*0.5))))+(-PV(חישובים!$D$21,(('הנחות עסקה'!$D$72*'הנחות עסקה'!$I$70)/365),,((0.1*(ROUND('מודל כלכלי'!$C$59*(1+0.06)^6,-4)))+((('הנחות עסקה'!$D$72*'הנחות עסקה'!$I$70)/365)*חישובים!$D$23*(0.1*(ROUND('מודל כלכלי'!$C$59*(1+0.06)^6,-4)))*0.5)))))+(-(((0.07*(ROUND('מודל כלכלי'!$C$59*(1+0.06)^6,-4)))+(0.13*(ROUND('מודל כלכלי'!$C$59*(1+0.06)^6,-4)))+(-PV(חישובים!$D$21,((('הנחות עסקה'!$D$72*'הנחות עסקה'!$I$70)-30)/365),,((0.7*(ROUND('מודל כלכלי'!$C$59*(1+0.06)^6,-4)))+(((('הנחות עסקה'!$D$72*'הנחות עסקה'!$I$70)-30)/365)*חישובים!$D$23*(0.7*(ROUND('מודל כלכלי'!$C$59*(1+0.06)^6,-4)))*0.5))))+(-PV(חישובים!$D$21,(('הנחות עסקה'!$D$72*'הנחות עסקה'!$I$70)/365),,((0.1*(ROUND('מודל כלכלי'!$C$59*(1+0.06)^6,-4)))+((('הנחות עסקה'!$D$72*'הנחות עסקה'!$I$70)/365)*חישובים!$D$23*(0.1*(ROUND('מודל כלכלי'!$C$59*(1+0.06)^6,-4)))*0.5)))))+(-PV(חישובים!$D$21/12,(('הנחות עסקה'!$D$72*'הנחות עסקה'!$I$70)/365*12),(-FV('מודל כלכלי'!$C$20,(6+(('הנחות עסקה'!$D$71-'הנחות עסקה'!$D$72)*'הנחות עסקה'!$I$70)/365),,'מודל כלכלי'!$C$53)))))*היוון!$C$26)),ROUND('מודל כלכלי'!$C$59*(1+0.06)^6,-4)))*'מודל כלכלי'!$C$14-'מודל כלכלי'!$C$68*(IF('מודל כלכלי'!$C$26="פליפ",((-PV(חישובים!$D$21/12,(('הנחות עסקה'!$D$72*'הנחות עסקה'!$I$70)/365*12),(-FV('מודל כלכלי'!$C$20,(6+(('הנחות עסקה'!$D$71-'הנחות עסקה'!$D$72)*'הנחות עסקה'!$I$70)/365),,'מודל כלכלי'!$C$53))))+((0.07*(ROUND('מודל כלכלי'!$C$59*(1+0.06)^6,-4)))+(0.13*(ROUND('מודל כלכלי'!$C$59*(1+0.06)^6,-4)))+(-PV(חישובים!$D$21,((('הנחות עסקה'!$D$72*'הנחות עסקה'!$I$70)-30)/365),,((0.7*(ROUND('מודל כלכלי'!$C$59*(1+0.06)^6,-4)))+(((('הנחות עסקה'!$D$72*'הנחות עסקה'!$I$70)-30)/365)*חישובים!$D$23*(0.7*(ROUND('מודל כלכלי'!$C$59*(1+0.06)^6,-4)))*0.5))))+(-PV(חישובים!$D$21,(('הנחות עסקה'!$D$72*'הנחות עסקה'!$I$70)/365),,((0.1*(ROUND('מודל כלכלי'!$C$59*(1+0.06)^6,-4)))+((('הנחות עסקה'!$D$72*'הנחות עסקה'!$I$70)/365)*חישובים!$D$23*(0.1*(ROUND('מודל כלכלי'!$C$59*(1+0.06)^6,-4)))*0.5)))))+(-(((0.07*(ROUND('מודל כלכלי'!$C$59*(1+0.06)^6,-4)))+(0.13*(ROUND('מודל כלכלי'!$C$59*(1+0.06)^6,-4)))+(-PV(חישובים!$D$21,((('הנחות עסקה'!$D$72*'הנחות עסקה'!$I$70)-30)/365),,((0.7*(ROUND('מודל כלכלי'!$C$59*(1+0.06)^6,-4)))+(((('הנחות עסקה'!$D$72*'הנחות עסקה'!$I$70)-30)/365)*חישובים!$D$23*(0.7*(ROUND('מודל כלכלי'!$C$59*(1+0.06)^6,-4)))*0.5))))+(-PV(חישובים!$D$21,(('הנחות עסקה'!$D$72*'הנחות עסקה'!$I$70)/365),,((0.1*(ROUND('מודל כלכלי'!$C$59*(1+0.06)^6,-4)))+((('הנחות עסקה'!$D$72*'הנחות עסקה'!$I$70)/365)*חישובים!$D$23*(0.1*(ROUND('מודל כלכלי'!$C$59*(1+0.06)^6,-4)))*0.5)))))+(-PV(חישובים!$D$21/12,(('הנחות עסקה'!$D$72*'הנחות עסקה'!$I$70)/365*12),(-FV('מודל כלכלי'!$C$20,(6+(('הנחות עסקה'!$D$71-'הנחות עסקה'!$D$72)*'הנחות עסקה'!$I$70)/365),,'מודל כלכלי'!$C$53)))))*היוון!$C$26)),ROUND('מודל כלכלי'!$C$59*(1+0.06)^6,-4)))*'מודל כלכלי'!$C$14+'מודל כלכלי'!$C$70,-3))+(ROUND(-FV(חישובים!$D$22,6*12,'מודל כלכלי'!$C$55),-3))+(-'מודל כלכלי'!$C$45)+(-MAX(0,(IF('מודל כלכלי'!$C$26="פליפ",((-PV(חישובים!$D$21/12,(('הנחות עסקה'!$D$72*'הנחות עסקה'!$I$70)/365*12),(-FV('מודל כלכלי'!$C$20,(6+(('הנחות עסקה'!$D$71-'הנחות עסקה'!$D$72)*'הנחות עסקה'!$I$70)/365),,'מודל כלכלי'!$C$53))))+((0.07*(ROUND('מודל כלכלי'!$C$59*(1+0.06)^6,-4)))+(0.13*(ROUND('מודל כלכלי'!$C$59*(1+0.06)^6,-4)))+(-PV(חישובים!$D$21,((('הנחות עסקה'!$D$72*'הנחות עסקה'!$I$70)-30)/365),,((0.7*(ROUND('מודל כלכלי'!$C$59*(1+0.06)^6,-4)))+(((('הנחות עסקה'!$D$72*'הנחות עסקה'!$I$70)-30)/365)*חישובים!$D$23*(0.7*(ROUND('מודל כלכלי'!$C$59*(1+0.06)^6,-4)))*0.5))))+(-PV(חישובים!$D$21,(('הנחות עסקה'!$D$72*'הנחות עסקה'!$I$70)/365),,((0.1*(ROUND('מודל כלכלי'!$C$59*(1+0.06)^6,-4)))+((('הנחות עסקה'!$D$72*'הנחות עסקה'!$I$70)/365)*חישובים!$D$23*(0.1*(ROUND('מודל כלכלי'!$C$59*(1+0.06)^6,-4)))*0.5)))))+(-(((0.07*(ROUND('מודל כלכלי'!$C$59*(1+0.06)^6,-4)))+(0.13*(ROUND('מודל כלכלי'!$C$59*(1+0.06)^6,-4)))+(-PV(חישובים!$D$21,((('הנחות עסקה'!$D$72*'הנחות עסקה'!$I$70)-30)/365),,((0.7*(ROUND('מודל כלכלי'!$C$59*(1+0.06)^6,-4)))+(((('הנחות עסקה'!$D$72*'הנחות עסקה'!$I$70)-30)/365)*חישובים!$D$23*(0.7*(ROUND('מודל כלכלי'!$C$59*(1+0.06)^6,-4)))*0.5))))+(-PV(חישובים!$D$21,(('הנחות עסקה'!$D$72*'הנחות עסקה'!$I$70)/365),,((0.1*(ROUND('מודל כלכלי'!$C$59*(1+0.06)^6,-4)))+((('הנחות עסקה'!$D$72*'הנחות עסקה'!$I$70)/365)*חישובים!$D$23*(0.1*(ROUND('מודל כלכלי'!$C$59*(1+0.06)^6,-4)))*0.5)))))+(-PV(חישובים!$D$21/12,(('הנחות עסקה'!$D$72*'הנחות עסקה'!$I$70)/365*12),(-FV('מודל כלכלי'!$C$20,(6+(('הנחות עסקה'!$D$71-'הנחות עסקה'!$D$72)*'הנחות עסקה'!$I$70)/365),,'מודל כלכלי'!$C$53)))))*היוון!$C$26)),ROUND('מודל כלכלי'!$C$59*(1+0.06)^6,-4)))-(חישובים!$D$28*(1+חישובים!$D$29)^6))*0.25),-4))+'מודל כלכלי'!$C$45)/'מודל כלכלי'!$C$45)^(1/6)-1</f>
        <v>0.27183677286871188</v>
      </c>
      <c r="D14" s="59">
        <f>(((ROUND((IF('מודל כלכלי'!$C$26="פליפ",((-PV(חישובים!$D$21/12,(('הנחות עסקה'!$D$72*'הנחות עסקה'!$I$70)/365*12),(-FV('מודל כלכלי'!$C$20,(7+(('הנחות עסקה'!$D$71-'הנחות עסקה'!$D$72)*'הנחות עסקה'!$I$70)/365),,'מודל כלכלי'!$C$53))))+((0.07*(ROUND('מודל כלכלי'!$C$59*(1+0.06)^7,-4)))+(0.13*(ROUND('מודל כלכלי'!$C$59*(1+0.06)^7,-4)))+(-PV(חישובים!$D$21,((('הנחות עסקה'!$D$72*'הנחות עסקה'!$I$70)-30)/365),,((0.7*(ROUND('מודל כלכלי'!$C$59*(1+0.06)^7,-4)))+(((('הנחות עסקה'!$D$72*'הנחות עסקה'!$I$70)-30)/365)*חישובים!$D$23*(0.7*(ROUND('מודל כלכלי'!$C$59*(1+0.06)^7,-4)))*0.5))))+(-PV(חישובים!$D$21,(('הנחות עסקה'!$D$72*'הנחות עסקה'!$I$70)/365),,((0.1*(ROUND('מודל כלכלי'!$C$59*(1+0.06)^7,-4)))+((('הנחות עסקה'!$D$72*'הנחות עסקה'!$I$70)/365)*חישובים!$D$23*(0.1*(ROUND('מודל כלכלי'!$C$59*(1+0.06)^7,-4)))*0.5)))))+(-(((0.07*(ROUND('מודל כלכלי'!$C$59*(1+0.06)^7,-4)))+(0.13*(ROUND('מודל כלכלי'!$C$59*(1+0.06)^7,-4)))+(-PV(חישובים!$D$21,((('הנחות עסקה'!$D$72*'הנחות עסקה'!$I$70)-30)/365),,((0.7*(ROUND('מודל כלכלי'!$C$59*(1+0.06)^7,-4)))+(((('הנחות עסקה'!$D$72*'הנחות עסקה'!$I$70)-30)/365)*חישובים!$D$23*(0.7*(ROUND('מודל כלכלי'!$C$59*(1+0.06)^7,-4)))*0.5))))+(-PV(חישובים!$D$21,(('הנחות עסקה'!$D$72*'הנחות עסקה'!$I$70)/365),,((0.1*(ROUND('מודל כלכלי'!$C$59*(1+0.06)^7,-4)))+((('הנחות עסקה'!$D$72*'הנחות עסקה'!$I$70)/365)*חישובים!$D$23*(0.1*(ROUND('מודל כלכלי'!$C$59*(1+0.06)^7,-4)))*0.5)))))+(-PV(חישובים!$D$21/12,(('הנחות עסקה'!$D$72*'הנחות עסקה'!$I$70)/365*12),(-FV('מודל כלכלי'!$C$20,(7+(('הנחות עסקה'!$D$71-'הנחות עסקה'!$D$72)*'הנחות עסקה'!$I$70)/365),,'מודל כלכלי'!$C$53)))))*היוון!$C$26)),ROUND('מודל כלכלי'!$C$59*(1+0.06)^7,-4)))+(ROUND(FV('מודל כלכלי'!$C$17/12,7*12,'מודל כלכלי'!$C$48,'מודל כלכלי'!$C$46),-4))+(ROUND(-'מודל כלכלי'!$C$66*(IF('מודל כלכלי'!$C$26="פליפ",((-PV(חישובים!$D$21/12,(('הנחות עסקה'!$D$72*'הנחות עסקה'!$I$70)/365*12),(-FV('מודל כלכלי'!$C$20,(7+(('הנחות עסקה'!$D$71-'הנחות עסקה'!$D$72)*'הנחות עסקה'!$I$70)/365),,'מודל כלכלי'!$C$53))))+((0.07*(ROUND('מודל כלכלי'!$C$59*(1+0.06)^7,-4)))+(0.13*(ROUND('מודל כלכלי'!$C$59*(1+0.06)^7,-4)))+(-PV(חישובים!$D$21,((('הנחות עסקה'!$D$72*'הנחות עסקה'!$I$70)-30)/365),,((0.7*(ROUND('מודל כלכלי'!$C$59*(1+0.06)^7,-4)))+(((('הנחות עסקה'!$D$72*'הנחות עסקה'!$I$70)-30)/365)*חישובים!$D$23*(0.7*(ROUND('מודל כלכלי'!$C$59*(1+0.06)^7,-4)))*0.5))))+(-PV(חישובים!$D$21,(('הנחות עסקה'!$D$72*'הנחות עסקה'!$I$70)/365),,((0.1*(ROUND('מודל כלכלי'!$C$59*(1+0.06)^7,-4)))+((('הנחות עסקה'!$D$72*'הנחות עסקה'!$I$70)/365)*חישובים!$D$23*(0.1*(ROUND('מודל כלכלי'!$C$59*(1+0.06)^7,-4)))*0.5)))))+(-(((0.07*(ROUND('מודל כלכלי'!$C$59*(1+0.06)^7,-4)))+(0.13*(ROUND('מודל כלכלי'!$C$59*(1+0.06)^7,-4)))+(-PV(חישובים!$D$21,((('הנחות עסקה'!$D$72*'הנחות עסקה'!$I$70)-30)/365),,((0.7*(ROUND('מודל כלכלי'!$C$59*(1+0.06)^7,-4)))+(((('הנחות עסקה'!$D$72*'הנחות עסקה'!$I$70)-30)/365)*חישובים!$D$23*(0.7*(ROUND('מודל כלכלי'!$C$59*(1+0.06)^7,-4)))*0.5))))+(-PV(חישובים!$D$21,(('הנחות עסקה'!$D$72*'הנחות עסקה'!$I$70)/365),,((0.1*(ROUND('מודל כלכלי'!$C$59*(1+0.06)^7,-4)))+((('הנחות עסקה'!$D$72*'הנחות עסקה'!$I$70)/365)*חישובים!$D$23*(0.1*(ROUND('מודל כלכלי'!$C$59*(1+0.06)^7,-4)))*0.5)))))+(-PV(חישובים!$D$21/12,(('הנחות עסקה'!$D$72*'הנחות עסקה'!$I$70)/365*12),(-FV('מודל כלכלי'!$C$20,(7+(('הנחות עסקה'!$D$71-'הנחות עסקה'!$D$72)*'הנחות עסקה'!$I$70)/365),,'מודל כלכלי'!$C$53)))))*היוון!$C$26)),ROUND('מודל כלכלי'!$C$59*(1+0.06)^7,-4)))*'מודל כלכלי'!$C$14-'מודל כלכלי'!$C$68*(IF('מודל כלכלי'!$C$26="פליפ",((-PV(חישובים!$D$21/12,(('הנחות עסקה'!$D$72*'הנחות עסקה'!$I$70)/365*12),(-FV('מודל כלכלי'!$C$20,(7+(('הנחות עסקה'!$D$71-'הנחות עסקה'!$D$72)*'הנחות עסקה'!$I$70)/365),,'מודל כלכלי'!$C$53))))+((0.07*(ROUND('מודל כלכלי'!$C$59*(1+0.06)^7,-4)))+(0.13*(ROUND('מודל כלכלי'!$C$59*(1+0.06)^7,-4)))+(-PV(חישובים!$D$21,((('הנחות עסקה'!$D$72*'הנחות עסקה'!$I$70)-30)/365),,((0.7*(ROUND('מודל כלכלי'!$C$59*(1+0.06)^7,-4)))+(((('הנחות עסקה'!$D$72*'הנחות עסקה'!$I$70)-30)/365)*חישובים!$D$23*(0.7*(ROUND('מודל כלכלי'!$C$59*(1+0.06)^7,-4)))*0.5))))+(-PV(חישובים!$D$21,(('הנחות עסקה'!$D$72*'הנחות עסקה'!$I$70)/365),,((0.1*(ROUND('מודל כלכלי'!$C$59*(1+0.06)^7,-4)))+((('הנחות עסקה'!$D$72*'הנחות עסקה'!$I$70)/365)*חישובים!$D$23*(0.1*(ROUND('מודל כלכלי'!$C$59*(1+0.06)^7,-4)))*0.5)))))+(-(((0.07*(ROUND('מודל כלכלי'!$C$59*(1+0.06)^7,-4)))+(0.13*(ROUND('מודל כלכלי'!$C$59*(1+0.06)^7,-4)))+(-PV(חישובים!$D$21,((('הנחות עסקה'!$D$72*'הנחות עסקה'!$I$70)-30)/365),,((0.7*(ROUND('מודל כלכלי'!$C$59*(1+0.06)^7,-4)))+(((('הנחות עסקה'!$D$72*'הנחות עסקה'!$I$70)-30)/365)*חישובים!$D$23*(0.7*(ROUND('מודל כלכלי'!$C$59*(1+0.06)^7,-4)))*0.5))))+(-PV(חישובים!$D$21,(('הנחות עסקה'!$D$72*'הנחות עסקה'!$I$70)/365),,((0.1*(ROUND('מודל כלכלי'!$C$59*(1+0.06)^7,-4)))+((('הנחות עסקה'!$D$72*'הנחות עסקה'!$I$70)/365)*חישובים!$D$23*(0.1*(ROUND('מודל כלכלי'!$C$59*(1+0.06)^7,-4)))*0.5)))))+(-PV(חישובים!$D$21/12,(('הנחות עסקה'!$D$72*'הנחות עסקה'!$I$70)/365*12),(-FV('מודל כלכלי'!$C$20,(7+(('הנחות עסקה'!$D$71-'הנחות עסקה'!$D$72)*'הנחות עסקה'!$I$70)/365),,'מודל כלכלי'!$C$53)))))*היוון!$C$26)),ROUND('מודל כלכלי'!$C$59*(1+0.06)^7,-4)))*'מודל כלכלי'!$C$14+'מודל כלכלי'!$C$70,-3))+(ROUND(-FV(חישובים!$D$22,7*12,'מודל כלכלי'!$C$55),-3))+(-'מודל כלכלי'!$C$45)+(-MAX(0,(IF('מודל כלכלי'!$C$26="פליפ",((-PV(חישובים!$D$21/12,(('הנחות עסקה'!$D$72*'הנחות עסקה'!$I$70)/365*12),(-FV('מודל כלכלי'!$C$20,(7+(('הנחות עסקה'!$D$71-'הנחות עסקה'!$D$72)*'הנחות עסקה'!$I$70)/365),,'מודל כלכלי'!$C$53))))+((0.07*(ROUND('מודל כלכלי'!$C$59*(1+0.06)^7,-4)))+(0.13*(ROUND('מודל כלכלי'!$C$59*(1+0.06)^7,-4)))+(-PV(חישובים!$D$21,((('הנחות עסקה'!$D$72*'הנחות עסקה'!$I$70)-30)/365),,((0.7*(ROUND('מודל כלכלי'!$C$59*(1+0.06)^7,-4)))+(((('הנחות עסקה'!$D$72*'הנחות עסקה'!$I$70)-30)/365)*חישובים!$D$23*(0.7*(ROUND('מודל כלכלי'!$C$59*(1+0.06)^7,-4)))*0.5))))+(-PV(חישובים!$D$21,(('הנחות עסקה'!$D$72*'הנחות עסקה'!$I$70)/365),,((0.1*(ROUND('מודל כלכלי'!$C$59*(1+0.06)^7,-4)))+((('הנחות עסקה'!$D$72*'הנחות עסקה'!$I$70)/365)*חישובים!$D$23*(0.1*(ROUND('מודל כלכלי'!$C$59*(1+0.06)^7,-4)))*0.5)))))+(-(((0.07*(ROUND('מודל כלכלי'!$C$59*(1+0.06)^7,-4)))+(0.13*(ROUND('מודל כלכלי'!$C$59*(1+0.06)^7,-4)))+(-PV(חישובים!$D$21,((('הנחות עסקה'!$D$72*'הנחות עסקה'!$I$70)-30)/365),,((0.7*(ROUND('מודל כלכלי'!$C$59*(1+0.06)^7,-4)))+(((('הנחות עסקה'!$D$72*'הנחות עסקה'!$I$70)-30)/365)*חישובים!$D$23*(0.7*(ROUND('מודל כלכלי'!$C$59*(1+0.06)^7,-4)))*0.5))))+(-PV(חישובים!$D$21,(('הנחות עסקה'!$D$72*'הנחות עסקה'!$I$70)/365),,((0.1*(ROUND('מודל כלכלי'!$C$59*(1+0.06)^7,-4)))+((('הנחות עסקה'!$D$72*'הנחות עסקה'!$I$70)/365)*חישובים!$D$23*(0.1*(ROUND('מודל כלכלי'!$C$59*(1+0.06)^7,-4)))*0.5)))))+(-PV(חישובים!$D$21/12,(('הנחות עסקה'!$D$72*'הנחות עסקה'!$I$70)/365*12),(-FV('מודל כלכלי'!$C$20,(7+(('הנחות עסקה'!$D$71-'הנחות עסקה'!$D$72)*'הנחות עסקה'!$I$70)/365),,'מודל כלכלי'!$C$53)))))*היוון!$C$26)),ROUND('מודל כלכלי'!$C$59*(1+0.06)^7,-4)))-(חישובים!$D$28*(1+חישובים!$D$29)^7))*0.25),-4))+'מודל כלכלי'!$C$45)/'מודל כלכלי'!$C$45)^(1/7)-1</f>
        <v>0.2440525549016741</v>
      </c>
      <c r="E14" s="59">
        <f>(((ROUND((IF('מודל כלכלי'!$C$26="פליפ",((-PV(חישובים!$D$21/12,(('הנחות עסקה'!$D$72*'הנחות עסקה'!$I$70)/365*12),(-FV('מודל כלכלי'!$C$20,(8+(('הנחות עסקה'!$D$71-'הנחות עסקה'!$D$72)*'הנחות עסקה'!$I$70)/365),,'מודל כלכלי'!$C$53))))+((0.07*(ROUND('מודל כלכלי'!$C$59*(1+0.06)^8,-4)))+(0.13*(ROUND('מודל כלכלי'!$C$59*(1+0.06)^8,-4)))+(-PV(חישובים!$D$21,((('הנחות עסקה'!$D$72*'הנחות עסקה'!$I$70)-30)/365),,((0.7*(ROUND('מודל כלכלי'!$C$59*(1+0.06)^8,-4)))+(((('הנחות עסקה'!$D$72*'הנחות עסקה'!$I$70)-30)/365)*חישובים!$D$23*(0.7*(ROUND('מודל כלכלי'!$C$59*(1+0.06)^8,-4)))*0.5))))+(-PV(חישובים!$D$21,(('הנחות עסקה'!$D$72*'הנחות עסקה'!$I$70)/365),,((0.1*(ROUND('מודל כלכלי'!$C$59*(1+0.06)^8,-4)))+((('הנחות עסקה'!$D$72*'הנחות עסקה'!$I$70)/365)*חישובים!$D$23*(0.1*(ROUND('מודל כלכלי'!$C$59*(1+0.06)^8,-4)))*0.5)))))+(-(((0.07*(ROUND('מודל כלכלי'!$C$59*(1+0.06)^8,-4)))+(0.13*(ROUND('מודל כלכלי'!$C$59*(1+0.06)^8,-4)))+(-PV(חישובים!$D$21,((('הנחות עסקה'!$D$72*'הנחות עסקה'!$I$70)-30)/365),,((0.7*(ROUND('מודל כלכלי'!$C$59*(1+0.06)^8,-4)))+(((('הנחות עסקה'!$D$72*'הנחות עסקה'!$I$70)-30)/365)*חישובים!$D$23*(0.7*(ROUND('מודל כלכלי'!$C$59*(1+0.06)^8,-4)))*0.5))))+(-PV(חישובים!$D$21,(('הנחות עסקה'!$D$72*'הנחות עסקה'!$I$70)/365),,((0.1*(ROUND('מודל כלכלי'!$C$59*(1+0.06)^8,-4)))+((('הנחות עסקה'!$D$72*'הנחות עסקה'!$I$70)/365)*חישובים!$D$23*(0.1*(ROUND('מודל כלכלי'!$C$59*(1+0.06)^8,-4)))*0.5)))))+(-PV(חישובים!$D$21/12,(('הנחות עסקה'!$D$72*'הנחות עסקה'!$I$70)/365*12),(-FV('מודל כלכלי'!$C$20,(8+(('הנחות עסקה'!$D$71-'הנחות עסקה'!$D$72)*'הנחות עסקה'!$I$70)/365),,'מודל כלכלי'!$C$53)))))*היוון!$C$26)),ROUND('מודל כלכלי'!$C$59*(1+0.06)^8,-4)))+(ROUND(FV('מודל כלכלי'!$C$17/12,8*12,'מודל כלכלי'!$C$48,'מודל כלכלי'!$C$46),-4))+(ROUND(-'מודל כלכלי'!$C$66*(IF('מודל כלכלי'!$C$26="פליפ",((-PV(חישובים!$D$21/12,(('הנחות עסקה'!$D$72*'הנחות עסקה'!$I$70)/365*12),(-FV('מודל כלכלי'!$C$20,(8+(('הנחות עסקה'!$D$71-'הנחות עסקה'!$D$72)*'הנחות עסקה'!$I$70)/365),,'מודל כלכלי'!$C$53))))+((0.07*(ROUND('מודל כלכלי'!$C$59*(1+0.06)^8,-4)))+(0.13*(ROUND('מודל כלכלי'!$C$59*(1+0.06)^8,-4)))+(-PV(חישובים!$D$21,((('הנחות עסקה'!$D$72*'הנחות עסקה'!$I$70)-30)/365),,((0.7*(ROUND('מודל כלכלי'!$C$59*(1+0.06)^8,-4)))+(((('הנחות עסקה'!$D$72*'הנחות עסקה'!$I$70)-30)/365)*חישובים!$D$23*(0.7*(ROUND('מודל כלכלי'!$C$59*(1+0.06)^8,-4)))*0.5))))+(-PV(חישובים!$D$21,(('הנחות עסקה'!$D$72*'הנחות עסקה'!$I$70)/365),,((0.1*(ROUND('מודל כלכלי'!$C$59*(1+0.06)^8,-4)))+((('הנחות עסקה'!$D$72*'הנחות עסקה'!$I$70)/365)*חישובים!$D$23*(0.1*(ROUND('מודל כלכלי'!$C$59*(1+0.06)^8,-4)))*0.5)))))+(-(((0.07*(ROUND('מודל כלכלי'!$C$59*(1+0.06)^8,-4)))+(0.13*(ROUND('מודל כלכלי'!$C$59*(1+0.06)^8,-4)))+(-PV(חישובים!$D$21,((('הנחות עסקה'!$D$72*'הנחות עסקה'!$I$70)-30)/365),,((0.7*(ROUND('מודל כלכלי'!$C$59*(1+0.06)^8,-4)))+(((('הנחות עסקה'!$D$72*'הנחות עסקה'!$I$70)-30)/365)*חישובים!$D$23*(0.7*(ROUND('מודל כלכלי'!$C$59*(1+0.06)^8,-4)))*0.5))))+(-PV(חישובים!$D$21,(('הנחות עסקה'!$D$72*'הנחות עסקה'!$I$70)/365),,((0.1*(ROUND('מודל כלכלי'!$C$59*(1+0.06)^8,-4)))+((('הנחות עסקה'!$D$72*'הנחות עסקה'!$I$70)/365)*חישובים!$D$23*(0.1*(ROUND('מודל כלכלי'!$C$59*(1+0.06)^8,-4)))*0.5)))))+(-PV(חישובים!$D$21/12,(('הנחות עסקה'!$D$72*'הנחות עסקה'!$I$70)/365*12),(-FV('מודל כלכלי'!$C$20,(8+(('הנחות עסקה'!$D$71-'הנחות עסקה'!$D$72)*'הנחות עסקה'!$I$70)/365),,'מודל כלכלי'!$C$53)))))*היוון!$C$26)),ROUND('מודל כלכלי'!$C$59*(1+0.06)^8,-4)))*'מודל כלכלי'!$C$14-'מודל כלכלי'!$C$68*(IF('מודל כלכלי'!$C$26="פליפ",((-PV(חישובים!$D$21/12,(('הנחות עסקה'!$D$72*'הנחות עסקה'!$I$70)/365*12),(-FV('מודל כלכלי'!$C$20,(8+(('הנחות עסקה'!$D$71-'הנחות עסקה'!$D$72)*'הנחות עסקה'!$I$70)/365),,'מודל כלכלי'!$C$53))))+((0.07*(ROUND('מודל כלכלי'!$C$59*(1+0.06)^8,-4)))+(0.13*(ROUND('מודל כלכלי'!$C$59*(1+0.06)^8,-4)))+(-PV(חישובים!$D$21,((('הנחות עסקה'!$D$72*'הנחות עסקה'!$I$70)-30)/365),,((0.7*(ROUND('מודל כלכלי'!$C$59*(1+0.06)^8,-4)))+(((('הנחות עסקה'!$D$72*'הנחות עסקה'!$I$70)-30)/365)*חישובים!$D$23*(0.7*(ROUND('מודל כלכלי'!$C$59*(1+0.06)^8,-4)))*0.5))))+(-PV(חישובים!$D$21,(('הנחות עסקה'!$D$72*'הנחות עסקה'!$I$70)/365),,((0.1*(ROUND('מודל כלכלי'!$C$59*(1+0.06)^8,-4)))+((('הנחות עסקה'!$D$72*'הנחות עסקה'!$I$70)/365)*חישובים!$D$23*(0.1*(ROUND('מודל כלכלי'!$C$59*(1+0.06)^8,-4)))*0.5)))))+(-(((0.07*(ROUND('מודל כלכלי'!$C$59*(1+0.06)^8,-4)))+(0.13*(ROUND('מודל כלכלי'!$C$59*(1+0.06)^8,-4)))+(-PV(חישובים!$D$21,((('הנחות עסקה'!$D$72*'הנחות עסקה'!$I$70)-30)/365),,((0.7*(ROUND('מודל כלכלי'!$C$59*(1+0.06)^8,-4)))+(((('הנחות עסקה'!$D$72*'הנחות עסקה'!$I$70)-30)/365)*חישובים!$D$23*(0.7*(ROUND('מודל כלכלי'!$C$59*(1+0.06)^8,-4)))*0.5))))+(-PV(חישובים!$D$21,(('הנחות עסקה'!$D$72*'הנחות עסקה'!$I$70)/365),,((0.1*(ROUND('מודל כלכלי'!$C$59*(1+0.06)^8,-4)))+((('הנחות עסקה'!$D$72*'הנחות עסקה'!$I$70)/365)*חישובים!$D$23*(0.1*(ROUND('מודל כלכלי'!$C$59*(1+0.06)^8,-4)))*0.5)))))+(-PV(חישובים!$D$21/12,(('הנחות עסקה'!$D$72*'הנחות עסקה'!$I$70)/365*12),(-FV('מודל כלכלי'!$C$20,(8+(('הנחות עסקה'!$D$71-'הנחות עסקה'!$D$72)*'הנחות עסקה'!$I$70)/365),,'מודל כלכלי'!$C$53)))))*היוון!$C$26)),ROUND('מודל כלכלי'!$C$59*(1+0.06)^8,-4)))*'מודל כלכלי'!$C$14+'מודל כלכלי'!$C$70,-3))+(ROUND(-FV(חישובים!$D$22,8*12,'מודל כלכלי'!$C$55),-3))+(-'מודל כלכלי'!$C$45)+(-MAX(0,(IF('מודל כלכלי'!$C$26="פליפ",((-PV(חישובים!$D$21/12,(('הנחות עסקה'!$D$72*'הנחות עסקה'!$I$70)/365*12),(-FV('מודל כלכלי'!$C$20,(8+(('הנחות עסקה'!$D$71-'הנחות עסקה'!$D$72)*'הנחות עסקה'!$I$70)/365),,'מודל כלכלי'!$C$53))))+((0.07*(ROUND('מודל כלכלי'!$C$59*(1+0.06)^8,-4)))+(0.13*(ROUND('מודל כלכלי'!$C$59*(1+0.06)^8,-4)))+(-PV(חישובים!$D$21,((('הנחות עסקה'!$D$72*'הנחות עסקה'!$I$70)-30)/365),,((0.7*(ROUND('מודל כלכלי'!$C$59*(1+0.06)^8,-4)))+(((('הנחות עסקה'!$D$72*'הנחות עסקה'!$I$70)-30)/365)*חישובים!$D$23*(0.7*(ROUND('מודל כלכלי'!$C$59*(1+0.06)^8,-4)))*0.5))))+(-PV(חישובים!$D$21,(('הנחות עסקה'!$D$72*'הנחות עסקה'!$I$70)/365),,((0.1*(ROUND('מודל כלכלי'!$C$59*(1+0.06)^8,-4)))+((('הנחות עסקה'!$D$72*'הנחות עסקה'!$I$70)/365)*חישובים!$D$23*(0.1*(ROUND('מודל כלכלי'!$C$59*(1+0.06)^8,-4)))*0.5)))))+(-(((0.07*(ROUND('מודל כלכלי'!$C$59*(1+0.06)^8,-4)))+(0.13*(ROUND('מודל כלכלי'!$C$59*(1+0.06)^8,-4)))+(-PV(חישובים!$D$21,((('הנחות עסקה'!$D$72*'הנחות עסקה'!$I$70)-30)/365),,((0.7*(ROUND('מודל כלכלי'!$C$59*(1+0.06)^8,-4)))+(((('הנחות עסקה'!$D$72*'הנחות עסקה'!$I$70)-30)/365)*חישובים!$D$23*(0.7*(ROUND('מודל כלכלי'!$C$59*(1+0.06)^8,-4)))*0.5))))+(-PV(חישובים!$D$21,(('הנחות עסקה'!$D$72*'הנחות עסקה'!$I$70)/365),,((0.1*(ROUND('מודל כלכלי'!$C$59*(1+0.06)^8,-4)))+((('הנחות עסקה'!$D$72*'הנחות עסקה'!$I$70)/365)*חישובים!$D$23*(0.1*(ROUND('מודל כלכלי'!$C$59*(1+0.06)^8,-4)))*0.5)))))+(-PV(חישובים!$D$21/12,(('הנחות עסקה'!$D$72*'הנחות עסקה'!$I$70)/365*12),(-FV('מודל כלכלי'!$C$20,(8+(('הנחות עסקה'!$D$71-'הנחות עסקה'!$D$72)*'הנחות עסקה'!$I$70)/365),,'מודל כלכלי'!$C$53)))))*היוון!$C$26)),ROUND('מודל כלכלי'!$C$59*(1+0.06)^8,-4)))-(חישובים!$D$28*(1+חישובים!$D$29)^8))*0.25),-4))+'מודל כלכלי'!$C$45)/'מודל כלכלי'!$C$45)^(1/8)-1</f>
        <v>0.22303928985398302</v>
      </c>
      <c r="F14" s="59">
        <f>(((ROUND((IF('מודל כלכלי'!$C$26="פליפ",((-PV(חישובים!$D$21/12,(('הנחות עסקה'!$D$72*'הנחות עסקה'!$I$70)/365*12),(-FV('מודל כלכלי'!$C$20,(9+(('הנחות עסקה'!$D$71-'הנחות עסקה'!$D$72)*'הנחות עסקה'!$I$70)/365),,'מודל כלכלי'!$C$53))))+((0.07*(ROUND('מודל כלכלי'!$C$59*(1+0.06)^9,-4)))+(0.13*(ROUND('מודל כלכלי'!$C$59*(1+0.06)^9,-4)))+(-PV(חישובים!$D$21,((('הנחות עסקה'!$D$72*'הנחות עסקה'!$I$70)-30)/365),,((0.7*(ROUND('מודל כלכלי'!$C$59*(1+0.06)^9,-4)))+(((('הנחות עסקה'!$D$72*'הנחות עסקה'!$I$70)-30)/365)*חישובים!$D$23*(0.7*(ROUND('מודל כלכלי'!$C$59*(1+0.06)^9,-4)))*0.5))))+(-PV(חישובים!$D$21,(('הנחות עסקה'!$D$72*'הנחות עסקה'!$I$70)/365),,((0.1*(ROUND('מודל כלכלי'!$C$59*(1+0.06)^9,-4)))+((('הנחות עסקה'!$D$72*'הנחות עסקה'!$I$70)/365)*חישובים!$D$23*(0.1*(ROUND('מודל כלכלי'!$C$59*(1+0.06)^9,-4)))*0.5)))))+(-(((0.07*(ROUND('מודל כלכלי'!$C$59*(1+0.06)^9,-4)))+(0.13*(ROUND('מודל כלכלי'!$C$59*(1+0.06)^9,-4)))+(-PV(חישובים!$D$21,((('הנחות עסקה'!$D$72*'הנחות עסקה'!$I$70)-30)/365),,((0.7*(ROUND('מודל כלכלי'!$C$59*(1+0.06)^9,-4)))+(((('הנחות עסקה'!$D$72*'הנחות עסקה'!$I$70)-30)/365)*חישובים!$D$23*(0.7*(ROUND('מודל כלכלי'!$C$59*(1+0.06)^9,-4)))*0.5))))+(-PV(חישובים!$D$21,(('הנחות עסקה'!$D$72*'הנחות עסקה'!$I$70)/365),,((0.1*(ROUND('מודל כלכלי'!$C$59*(1+0.06)^9,-4)))+((('הנחות עסקה'!$D$72*'הנחות עסקה'!$I$70)/365)*חישובים!$D$23*(0.1*(ROUND('מודל כלכלי'!$C$59*(1+0.06)^9,-4)))*0.5)))))+(-PV(חישובים!$D$21/12,(('הנחות עסקה'!$D$72*'הנחות עסקה'!$I$70)/365*12),(-FV('מודל כלכלי'!$C$20,(9+(('הנחות עסקה'!$D$71-'הנחות עסקה'!$D$72)*'הנחות עסקה'!$I$70)/365),,'מודל כלכלי'!$C$53)))))*היוון!$C$26)),ROUND('מודל כלכלי'!$C$59*(1+0.06)^9,-4)))+(ROUND(FV('מודל כלכלי'!$C$17/12,9*12,'מודל כלכלי'!$C$48,'מודל כלכלי'!$C$46),-4))+(ROUND(-'מודל כלכלי'!$C$66*(IF('מודל כלכלי'!$C$26="פליפ",((-PV(חישובים!$D$21/12,(('הנחות עסקה'!$D$72*'הנחות עסקה'!$I$70)/365*12),(-FV('מודל כלכלי'!$C$20,(9+(('הנחות עסקה'!$D$71-'הנחות עסקה'!$D$72)*'הנחות עסקה'!$I$70)/365),,'מודל כלכלי'!$C$53))))+((0.07*(ROUND('מודל כלכלי'!$C$59*(1+0.06)^9,-4)))+(0.13*(ROUND('מודל כלכלי'!$C$59*(1+0.06)^9,-4)))+(-PV(חישובים!$D$21,((('הנחות עסקה'!$D$72*'הנחות עסקה'!$I$70)-30)/365),,((0.7*(ROUND('מודל כלכלי'!$C$59*(1+0.06)^9,-4)))+(((('הנחות עסקה'!$D$72*'הנחות עסקה'!$I$70)-30)/365)*חישובים!$D$23*(0.7*(ROUND('מודל כלכלי'!$C$59*(1+0.06)^9,-4)))*0.5))))+(-PV(חישובים!$D$21,(('הנחות עסקה'!$D$72*'הנחות עסקה'!$I$70)/365),,((0.1*(ROUND('מודל כלכלי'!$C$59*(1+0.06)^9,-4)))+((('הנחות עסקה'!$D$72*'הנחות עסקה'!$I$70)/365)*חישובים!$D$23*(0.1*(ROUND('מודל כלכלי'!$C$59*(1+0.06)^9,-4)))*0.5)))))+(-(((0.07*(ROUND('מודל כלכלי'!$C$59*(1+0.06)^9,-4)))+(0.13*(ROUND('מודל כלכלי'!$C$59*(1+0.06)^9,-4)))+(-PV(חישובים!$D$21,((('הנחות עסקה'!$D$72*'הנחות עסקה'!$I$70)-30)/365),,((0.7*(ROUND('מודל כלכלי'!$C$59*(1+0.06)^9,-4)))+(((('הנחות עסקה'!$D$72*'הנחות עסקה'!$I$70)-30)/365)*חישובים!$D$23*(0.7*(ROUND('מודל כלכלי'!$C$59*(1+0.06)^9,-4)))*0.5))))+(-PV(חישובים!$D$21,(('הנחות עסקה'!$D$72*'הנחות עסקה'!$I$70)/365),,((0.1*(ROUND('מודל כלכלי'!$C$59*(1+0.06)^9,-4)))+((('הנחות עסקה'!$D$72*'הנחות עסקה'!$I$70)/365)*חישובים!$D$23*(0.1*(ROUND('מודל כלכלי'!$C$59*(1+0.06)^9,-4)))*0.5)))))+(-PV(חישובים!$D$21/12,(('הנחות עסקה'!$D$72*'הנחות עסקה'!$I$70)/365*12),(-FV('מודל כלכלי'!$C$20,(9+(('הנחות עסקה'!$D$71-'הנחות עסקה'!$D$72)*'הנחות עסקה'!$I$70)/365),,'מודל כלכלי'!$C$53)))))*היוון!$C$26)),ROUND('מודל כלכלי'!$C$59*(1+0.06)^9,-4)))*'מודל כלכלי'!$C$14-'מודל כלכלי'!$C$68*(IF('מודל כלכלי'!$C$26="פליפ",((-PV(חישובים!$D$21/12,(('הנחות עסקה'!$D$72*'הנחות עסקה'!$I$70)/365*12),(-FV('מודל כלכלי'!$C$20,(9+(('הנחות עסקה'!$D$71-'הנחות עסקה'!$D$72)*'הנחות עסקה'!$I$70)/365),,'מודל כלכלי'!$C$53))))+((0.07*(ROUND('מודל כלכלי'!$C$59*(1+0.06)^9,-4)))+(0.13*(ROUND('מודל כלכלי'!$C$59*(1+0.06)^9,-4)))+(-PV(חישובים!$D$21,((('הנחות עסקה'!$D$72*'הנחות עסקה'!$I$70)-30)/365),,((0.7*(ROUND('מודל כלכלי'!$C$59*(1+0.06)^9,-4)))+(((('הנחות עסקה'!$D$72*'הנחות עסקה'!$I$70)-30)/365)*חישובים!$D$23*(0.7*(ROUND('מודל כלכלי'!$C$59*(1+0.06)^9,-4)))*0.5))))+(-PV(חישובים!$D$21,(('הנחות עסקה'!$D$72*'הנחות עסקה'!$I$70)/365),,((0.1*(ROUND('מודל כלכלי'!$C$59*(1+0.06)^9,-4)))+((('הנחות עסקה'!$D$72*'הנחות עסקה'!$I$70)/365)*חישובים!$D$23*(0.1*(ROUND('מודל כלכלי'!$C$59*(1+0.06)^9,-4)))*0.5)))))+(-(((0.07*(ROUND('מודל כלכלי'!$C$59*(1+0.06)^9,-4)))+(0.13*(ROUND('מודל כלכלי'!$C$59*(1+0.06)^9,-4)))+(-PV(חישובים!$D$21,((('הנחות עסקה'!$D$72*'הנחות עסקה'!$I$70)-30)/365),,((0.7*(ROUND('מודל כלכלי'!$C$59*(1+0.06)^9,-4)))+(((('הנחות עסקה'!$D$72*'הנחות עסקה'!$I$70)-30)/365)*חישובים!$D$23*(0.7*(ROUND('מודל כלכלי'!$C$59*(1+0.06)^9,-4)))*0.5))))+(-PV(חישובים!$D$21,(('הנחות עסקה'!$D$72*'הנחות עסקה'!$I$70)/365),,((0.1*(ROUND('מודל כלכלי'!$C$59*(1+0.06)^9,-4)))+((('הנחות עסקה'!$D$72*'הנחות עסקה'!$I$70)/365)*חישובים!$D$23*(0.1*(ROUND('מודל כלכלי'!$C$59*(1+0.06)^9,-4)))*0.5)))))+(-PV(חישובים!$D$21/12,(('הנחות עסקה'!$D$72*'הנחות עסקה'!$I$70)/365*12),(-FV('מודל כלכלי'!$C$20,(9+(('הנחות עסקה'!$D$71-'הנחות עסקה'!$D$72)*'הנחות עסקה'!$I$70)/365),,'מודל כלכלי'!$C$53)))))*היוון!$C$26)),ROUND('מודל כלכלי'!$C$59*(1+0.06)^9,-4)))*'מודל כלכלי'!$C$14+'מודל כלכלי'!$C$70,-3))+(ROUND(-FV(חישובים!$D$22,9*12,'מודל כלכלי'!$C$55),-3))+(-'מודל כלכלי'!$C$45)+(-MAX(0,(IF('מודל כלכלי'!$C$26="פליפ",((-PV(חישובים!$D$21/12,(('הנחות עסקה'!$D$72*'הנחות עסקה'!$I$70)/365*12),(-FV('מודל כלכלי'!$C$20,(9+(('הנחות עסקה'!$D$71-'הנחות עסקה'!$D$72)*'הנחות עסקה'!$I$70)/365),,'מודל כלכלי'!$C$53))))+((0.07*(ROUND('מודל כלכלי'!$C$59*(1+0.06)^9,-4)))+(0.13*(ROUND('מודל כלכלי'!$C$59*(1+0.06)^9,-4)))+(-PV(חישובים!$D$21,((('הנחות עסקה'!$D$72*'הנחות עסקה'!$I$70)-30)/365),,((0.7*(ROUND('מודל כלכלי'!$C$59*(1+0.06)^9,-4)))+(((('הנחות עסקה'!$D$72*'הנחות עסקה'!$I$70)-30)/365)*חישובים!$D$23*(0.7*(ROUND('מודל כלכלי'!$C$59*(1+0.06)^9,-4)))*0.5))))+(-PV(חישובים!$D$21,(('הנחות עסקה'!$D$72*'הנחות עסקה'!$I$70)/365),,((0.1*(ROUND('מודל כלכלי'!$C$59*(1+0.06)^9,-4)))+((('הנחות עסקה'!$D$72*'הנחות עסקה'!$I$70)/365)*חישובים!$D$23*(0.1*(ROUND('מודל כלכלי'!$C$59*(1+0.06)^9,-4)))*0.5)))))+(-(((0.07*(ROUND('מודל כלכלי'!$C$59*(1+0.06)^9,-4)))+(0.13*(ROUND('מודל כלכלי'!$C$59*(1+0.06)^9,-4)))+(-PV(חישובים!$D$21,((('הנחות עסקה'!$D$72*'הנחות עסקה'!$I$70)-30)/365),,((0.7*(ROUND('מודל כלכלי'!$C$59*(1+0.06)^9,-4)))+(((('הנחות עסקה'!$D$72*'הנחות עסקה'!$I$70)-30)/365)*חישובים!$D$23*(0.7*(ROUND('מודל כלכלי'!$C$59*(1+0.06)^9,-4)))*0.5))))+(-PV(חישובים!$D$21,(('הנחות עסקה'!$D$72*'הנחות עסקה'!$I$70)/365),,((0.1*(ROUND('מודל כלכלי'!$C$59*(1+0.06)^9,-4)))+((('הנחות עסקה'!$D$72*'הנחות עסקה'!$I$70)/365)*חישובים!$D$23*(0.1*(ROUND('מודל כלכלי'!$C$59*(1+0.06)^9,-4)))*0.5)))))+(-PV(חישובים!$D$21/12,(('הנחות עסקה'!$D$72*'הנחות עסקה'!$I$70)/365*12),(-FV('מודל כלכלי'!$C$20,(9+(('הנחות עסקה'!$D$71-'הנחות עסקה'!$D$72)*'הנחות עסקה'!$I$70)/365),,'מודל כלכלי'!$C$53)))))*היוון!$C$26)),ROUND('מודל כלכלי'!$C$59*(1+0.06)^9,-4)))-(חישובים!$D$28*(1+חישובים!$D$29)^9))*0.25),-4))+'מודל כלכלי'!$C$45)/'מודל כלכלי'!$C$45)^(1/9)-1</f>
        <v>0.20685726086342826</v>
      </c>
      <c r="G14" s="59">
        <f>(((ROUND((IF('מודל כלכלי'!$C$26="פליפ",((-PV(חישובים!$D$21/12,(('הנחות עסקה'!$D$72*'הנחות עסקה'!$I$70)/365*12),(-FV('מודל כלכלי'!$C$20,(10+(('הנחות עסקה'!$D$71-'הנחות עסקה'!$D$72)*'הנחות עסקה'!$I$70)/365),,'מודל כלכלי'!$C$53))))+((0.07*(ROUND('מודל כלכלי'!$C$59*(1+0.06)^10,-4)))+(0.13*(ROUND('מודל כלכלי'!$C$59*(1+0.06)^10,-4)))+(-PV(חישובים!$D$21,((('הנחות עסקה'!$D$72*'הנחות עסקה'!$I$70)-30)/365),,((0.7*(ROUND('מודל כלכלי'!$C$59*(1+0.06)^10,-4)))+(((('הנחות עסקה'!$D$72*'הנחות עסקה'!$I$70)-30)/365)*חישובים!$D$23*(0.7*(ROUND('מודל כלכלי'!$C$59*(1+0.06)^10,-4)))*0.5))))+(-PV(חישובים!$D$21,(('הנחות עסקה'!$D$72*'הנחות עסקה'!$I$70)/365),,((0.1*(ROUND('מודל כלכלי'!$C$59*(1+0.06)^10,-4)))+((('הנחות עסקה'!$D$72*'הנחות עסקה'!$I$70)/365)*חישובים!$D$23*(0.1*(ROUND('מודל כלכלי'!$C$59*(1+0.06)^10,-4)))*0.5)))))+(-(((0.07*(ROUND('מודל כלכלי'!$C$59*(1+0.06)^10,-4)))+(0.13*(ROUND('מודל כלכלי'!$C$59*(1+0.06)^10,-4)))+(-PV(חישובים!$D$21,((('הנחות עסקה'!$D$72*'הנחות עסקה'!$I$70)-30)/365),,((0.7*(ROUND('מודל כלכלי'!$C$59*(1+0.06)^10,-4)))+(((('הנחות עסקה'!$D$72*'הנחות עסקה'!$I$70)-30)/365)*חישובים!$D$23*(0.7*(ROUND('מודל כלכלי'!$C$59*(1+0.06)^10,-4)))*0.5))))+(-PV(חישובים!$D$21,(('הנחות עסקה'!$D$72*'הנחות עסקה'!$I$70)/365),,((0.1*(ROUND('מודל כלכלי'!$C$59*(1+0.06)^10,-4)))+((('הנחות עסקה'!$D$72*'הנחות עסקה'!$I$70)/365)*חישובים!$D$23*(0.1*(ROUND('מודל כלכלי'!$C$59*(1+0.06)^10,-4)))*0.5)))))+(-PV(חישובים!$D$21/12,(('הנחות עסקה'!$D$72*'הנחות עסקה'!$I$70)/365*12),(-FV('מודל כלכלי'!$C$20,(10+(('הנחות עסקה'!$D$71-'הנחות עסקה'!$D$72)*'הנחות עסקה'!$I$70)/365),,'מודל כלכלי'!$C$53)))))*היוון!$C$26)),ROUND('מודל כלכלי'!$C$59*(1+0.06)^10,-4)))+(ROUND(FV('מודל כלכלי'!$C$17/12,10*12,'מודל כלכלי'!$C$48,'מודל כלכלי'!$C$46),-4))+(ROUND(-'מודל כלכלי'!$C$66*(IF('מודל כלכלי'!$C$26="פליפ",((-PV(חישובים!$D$21/12,(('הנחות עסקה'!$D$72*'הנחות עסקה'!$I$70)/365*12),(-FV('מודל כלכלי'!$C$20,(10+(('הנחות עסקה'!$D$71-'הנחות עסקה'!$D$72)*'הנחות עסקה'!$I$70)/365),,'מודל כלכלי'!$C$53))))+((0.07*(ROUND('מודל כלכלי'!$C$59*(1+0.06)^10,-4)))+(0.13*(ROUND('מודל כלכלי'!$C$59*(1+0.06)^10,-4)))+(-PV(חישובים!$D$21,((('הנחות עסקה'!$D$72*'הנחות עסקה'!$I$70)-30)/365),,((0.7*(ROUND('מודל כלכלי'!$C$59*(1+0.06)^10,-4)))+(((('הנחות עסקה'!$D$72*'הנחות עסקה'!$I$70)-30)/365)*חישובים!$D$23*(0.7*(ROUND('מודל כלכלי'!$C$59*(1+0.06)^10,-4)))*0.5))))+(-PV(חישובים!$D$21,(('הנחות עסקה'!$D$72*'הנחות עסקה'!$I$70)/365),,((0.1*(ROUND('מודל כלכלי'!$C$59*(1+0.06)^10,-4)))+((('הנחות עסקה'!$D$72*'הנחות עסקה'!$I$70)/365)*חישובים!$D$23*(0.1*(ROUND('מודל כלכלי'!$C$59*(1+0.06)^10,-4)))*0.5)))))+(-(((0.07*(ROUND('מודל כלכלי'!$C$59*(1+0.06)^10,-4)))+(0.13*(ROUND('מודל כלכלי'!$C$59*(1+0.06)^10,-4)))+(-PV(חישובים!$D$21,((('הנחות עסקה'!$D$72*'הנחות עסקה'!$I$70)-30)/365),,((0.7*(ROUND('מודל כלכלי'!$C$59*(1+0.06)^10,-4)))+(((('הנחות עסקה'!$D$72*'הנחות עסקה'!$I$70)-30)/365)*חישובים!$D$23*(0.7*(ROUND('מודל כלכלי'!$C$59*(1+0.06)^10,-4)))*0.5))))+(-PV(חישובים!$D$21,(('הנחות עסקה'!$D$72*'הנחות עסקה'!$I$70)/365),,((0.1*(ROUND('מודל כלכלי'!$C$59*(1+0.06)^10,-4)))+((('הנחות עסקה'!$D$72*'הנחות עסקה'!$I$70)/365)*חישובים!$D$23*(0.1*(ROUND('מודל כלכלי'!$C$59*(1+0.06)^10,-4)))*0.5)))))+(-PV(חישובים!$D$21/12,(('הנחות עסקה'!$D$72*'הנחות עסקה'!$I$70)/365*12),(-FV('מודל כלכלי'!$C$20,(10+(('הנחות עסקה'!$D$71-'הנחות עסקה'!$D$72)*'הנחות עסקה'!$I$70)/365),,'מודל כלכלי'!$C$53)))))*היוון!$C$26)),ROUND('מודל כלכלי'!$C$59*(1+0.06)^10,-4)))*'מודל כלכלי'!$C$14-'מודל כלכלי'!$C$68*(IF('מודל כלכלי'!$C$26="פליפ",((-PV(חישובים!$D$21/12,(('הנחות עסקה'!$D$72*'הנחות עסקה'!$I$70)/365*12),(-FV('מודל כלכלי'!$C$20,(10+(('הנחות עסקה'!$D$71-'הנחות עסקה'!$D$72)*'הנחות עסקה'!$I$70)/365),,'מודל כלכלי'!$C$53))))+((0.07*(ROUND('מודל כלכלי'!$C$59*(1+0.06)^10,-4)))+(0.13*(ROUND('מודל כלכלי'!$C$59*(1+0.06)^10,-4)))+(-PV(חישובים!$D$21,((('הנחות עסקה'!$D$72*'הנחות עסקה'!$I$70)-30)/365),,((0.7*(ROUND('מודל כלכלי'!$C$59*(1+0.06)^10,-4)))+(((('הנחות עסקה'!$D$72*'הנחות עסקה'!$I$70)-30)/365)*חישובים!$D$23*(0.7*(ROUND('מודל כלכלי'!$C$59*(1+0.06)^10,-4)))*0.5))))+(-PV(חישובים!$D$21,(('הנחות עסקה'!$D$72*'הנחות עסקה'!$I$70)/365),,((0.1*(ROUND('מודל כלכלי'!$C$59*(1+0.06)^10,-4)))+((('הנחות עסקה'!$D$72*'הנחות עסקה'!$I$70)/365)*חישובים!$D$23*(0.1*(ROUND('מודל כלכלי'!$C$59*(1+0.06)^10,-4)))*0.5)))))+(-(((0.07*(ROUND('מודל כלכלי'!$C$59*(1+0.06)^10,-4)))+(0.13*(ROUND('מודל כלכלי'!$C$59*(1+0.06)^10,-4)))+(-PV(חישובים!$D$21,((('הנחות עסקה'!$D$72*'הנחות עסקה'!$I$70)-30)/365),,((0.7*(ROUND('מודל כלכלי'!$C$59*(1+0.06)^10,-4)))+(((('הנחות עסקה'!$D$72*'הנחות עסקה'!$I$70)-30)/365)*חישובים!$D$23*(0.7*(ROUND('מודל כלכלי'!$C$59*(1+0.06)^10,-4)))*0.5))))+(-PV(חישובים!$D$21,(('הנחות עסקה'!$D$72*'הנחות עסקה'!$I$70)/365),,((0.1*(ROUND('מודל כלכלי'!$C$59*(1+0.06)^10,-4)))+((('הנחות עסקה'!$D$72*'הנחות עסקה'!$I$70)/365)*חישובים!$D$23*(0.1*(ROUND('מודל כלכלי'!$C$59*(1+0.06)^10,-4)))*0.5)))))+(-PV(חישובים!$D$21/12,(('הנחות עסקה'!$D$72*'הנחות עסקה'!$I$70)/365*12),(-FV('מודל כלכלי'!$C$20,(10+(('הנחות עסקה'!$D$71-'הנחות עסקה'!$D$72)*'הנחות עסקה'!$I$70)/365),,'מודל כלכלי'!$C$53)))))*היוון!$C$26)),ROUND('מודל כלכלי'!$C$59*(1+0.06)^10,-4)))*'מודל כלכלי'!$C$14+'מודל כלכלי'!$C$70,-3))+(ROUND(-FV(חישובים!$D$22,10*12,'מודל כלכלי'!$C$55),-3))+(-'מודל כלכלי'!$C$45)+(-MAX(0,(IF('מודל כלכלי'!$C$26="פליפ",((-PV(חישובים!$D$21/12,(('הנחות עסקה'!$D$72*'הנחות עסקה'!$I$70)/365*12),(-FV('מודל כלכלי'!$C$20,(10+(('הנחות עסקה'!$D$71-'הנחות עסקה'!$D$72)*'הנחות עסקה'!$I$70)/365),,'מודל כלכלי'!$C$53))))+((0.07*(ROUND('מודל כלכלי'!$C$59*(1+0.06)^10,-4)))+(0.13*(ROUND('מודל כלכלי'!$C$59*(1+0.06)^10,-4)))+(-PV(חישובים!$D$21,((('הנחות עסקה'!$D$72*'הנחות עסקה'!$I$70)-30)/365),,((0.7*(ROUND('מודל כלכלי'!$C$59*(1+0.06)^10,-4)))+(((('הנחות עסקה'!$D$72*'הנחות עסקה'!$I$70)-30)/365)*חישובים!$D$23*(0.7*(ROUND('מודל כלכלי'!$C$59*(1+0.06)^10,-4)))*0.5))))+(-PV(חישובים!$D$21,(('הנחות עסקה'!$D$72*'הנחות עסקה'!$I$70)/365),,((0.1*(ROUND('מודל כלכלי'!$C$59*(1+0.06)^10,-4)))+((('הנחות עסקה'!$D$72*'הנחות עסקה'!$I$70)/365)*חישובים!$D$23*(0.1*(ROUND('מודל כלכלי'!$C$59*(1+0.06)^10,-4)))*0.5)))))+(-(((0.07*(ROUND('מודל כלכלי'!$C$59*(1+0.06)^10,-4)))+(0.13*(ROUND('מודל כלכלי'!$C$59*(1+0.06)^10,-4)))+(-PV(חישובים!$D$21,((('הנחות עסקה'!$D$72*'הנחות עסקה'!$I$70)-30)/365),,((0.7*(ROUND('מודל כלכלי'!$C$59*(1+0.06)^10,-4)))+(((('הנחות עסקה'!$D$72*'הנחות עסקה'!$I$70)-30)/365)*חישובים!$D$23*(0.7*(ROUND('מודל כלכלי'!$C$59*(1+0.06)^10,-4)))*0.5))))+(-PV(חישובים!$D$21,(('הנחות עסקה'!$D$72*'הנחות עסקה'!$I$70)/365),,((0.1*(ROUND('מודל כלכלי'!$C$59*(1+0.06)^10,-4)))+((('הנחות עסקה'!$D$72*'הנחות עסקה'!$I$70)/365)*חישובים!$D$23*(0.1*(ROUND('מודל כלכלי'!$C$59*(1+0.06)^10,-4)))*0.5)))))+(-PV(חישובים!$D$21/12,(('הנחות עסקה'!$D$72*'הנחות עסקה'!$I$70)/365*12),(-FV('מודל כלכלי'!$C$20,(10+(('הנחות עסקה'!$D$71-'הנחות עסקה'!$D$72)*'הנחות עסקה'!$I$70)/365),,'מודל כלכלי'!$C$53)))))*היוון!$C$26)),ROUND('מודל כלכלי'!$C$59*(1+0.06)^10,-4)))-(חישובים!$D$28*(1+חישובים!$D$29)^10))*0.25),-4))+'מודל כלכלי'!$C$45)/'מודל כלכלי'!$C$45)^(1/10)-1</f>
        <v>0.19364192803922298</v>
      </c>
      <c r="H14" s="59">
        <f>(((ROUND((IF('מודל כלכלי'!$C$26="פליפ",((-PV(חישובים!$D$21/12,(('הנחות עסקה'!$D$72*'הנחות עסקה'!$I$70)/365*12),(-FV('מודל כלכלי'!$C$20,(11+(('הנחות עסקה'!$D$71-'הנחות עסקה'!$D$72)*'הנחות עסקה'!$I$70)/365),,'מודל כלכלי'!$C$53))))+((0.07*(ROUND('מודל כלכלי'!$C$59*(1+0.06)^11,-4)))+(0.13*(ROUND('מודל כלכלי'!$C$59*(1+0.06)^11,-4)))+(-PV(חישובים!$D$21,((('הנחות עסקה'!$D$72*'הנחות עסקה'!$I$70)-30)/365),,((0.7*(ROUND('מודל כלכלי'!$C$59*(1+0.06)^11,-4)))+(((('הנחות עסקה'!$D$72*'הנחות עסקה'!$I$70)-30)/365)*חישובים!$D$23*(0.7*(ROUND('מודל כלכלי'!$C$59*(1+0.06)^11,-4)))*0.5))))+(-PV(חישובים!$D$21,(('הנחות עסקה'!$D$72*'הנחות עסקה'!$I$70)/365),,((0.1*(ROUND('מודל כלכלי'!$C$59*(1+0.06)^11,-4)))+((('הנחות עסקה'!$D$72*'הנחות עסקה'!$I$70)/365)*חישובים!$D$23*(0.1*(ROUND('מודל כלכלי'!$C$59*(1+0.06)^11,-4)))*0.5)))))+(-(((0.07*(ROUND('מודל כלכלי'!$C$59*(1+0.06)^11,-4)))+(0.13*(ROUND('מודל כלכלי'!$C$59*(1+0.06)^11,-4)))+(-PV(חישובים!$D$21,((('הנחות עסקה'!$D$72*'הנחות עסקה'!$I$70)-30)/365),,((0.7*(ROUND('מודל כלכלי'!$C$59*(1+0.06)^11,-4)))+(((('הנחות עסקה'!$D$72*'הנחות עסקה'!$I$70)-30)/365)*חישובים!$D$23*(0.7*(ROUND('מודל כלכלי'!$C$59*(1+0.06)^11,-4)))*0.5))))+(-PV(חישובים!$D$21,(('הנחות עסקה'!$D$72*'הנחות עסקה'!$I$70)/365),,((0.1*(ROUND('מודל כלכלי'!$C$59*(1+0.06)^11,-4)))+((('הנחות עסקה'!$D$72*'הנחות עסקה'!$I$70)/365)*חישובים!$D$23*(0.1*(ROUND('מודל כלכלי'!$C$59*(1+0.06)^11,-4)))*0.5)))))+(-PV(חישובים!$D$21/12,(('הנחות עסקה'!$D$72*'הנחות עסקה'!$I$70)/365*12),(-FV('מודל כלכלי'!$C$20,(11+(('הנחות עסקה'!$D$71-'הנחות עסקה'!$D$72)*'הנחות עסקה'!$I$70)/365),,'מודל כלכלי'!$C$53)))))*היוון!$C$26)),ROUND('מודל כלכלי'!$C$59*(1+0.06)^11,-4)))+(ROUND(FV('מודל כלכלי'!$C$17/12,11*12,'מודל כלכלי'!$C$48,'מודל כלכלי'!$C$46),-4))+(ROUND(-'מודל כלכלי'!$C$66*(IF('מודל כלכלי'!$C$26="פליפ",((-PV(חישובים!$D$21/12,(('הנחות עסקה'!$D$72*'הנחות עסקה'!$I$70)/365*12),(-FV('מודל כלכלי'!$C$20,(11+(('הנחות עסקה'!$D$71-'הנחות עסקה'!$D$72)*'הנחות עסקה'!$I$70)/365),,'מודל כלכלי'!$C$53))))+((0.07*(ROUND('מודל כלכלי'!$C$59*(1+0.06)^11,-4)))+(0.13*(ROUND('מודל כלכלי'!$C$59*(1+0.06)^11,-4)))+(-PV(חישובים!$D$21,((('הנחות עסקה'!$D$72*'הנחות עסקה'!$I$70)-30)/365),,((0.7*(ROUND('מודל כלכלי'!$C$59*(1+0.06)^11,-4)))+(((('הנחות עסקה'!$D$72*'הנחות עסקה'!$I$70)-30)/365)*חישובים!$D$23*(0.7*(ROUND('מודל כלכלי'!$C$59*(1+0.06)^11,-4)))*0.5))))+(-PV(חישובים!$D$21,(('הנחות עסקה'!$D$72*'הנחות עסקה'!$I$70)/365),,((0.1*(ROUND('מודל כלכלי'!$C$59*(1+0.06)^11,-4)))+((('הנחות עסקה'!$D$72*'הנחות עסקה'!$I$70)/365)*חישובים!$D$23*(0.1*(ROUND('מודל כלכלי'!$C$59*(1+0.06)^11,-4)))*0.5)))))+(-(((0.07*(ROUND('מודל כלכלי'!$C$59*(1+0.06)^11,-4)))+(0.13*(ROUND('מודל כלכלי'!$C$59*(1+0.06)^11,-4)))+(-PV(חישובים!$D$21,((('הנחות עסקה'!$D$72*'הנחות עסקה'!$I$70)-30)/365),,((0.7*(ROUND('מודל כלכלי'!$C$59*(1+0.06)^11,-4)))+(((('הנחות עסקה'!$D$72*'הנחות עסקה'!$I$70)-30)/365)*חישובים!$D$23*(0.7*(ROUND('מודל כלכלי'!$C$59*(1+0.06)^11,-4)))*0.5))))+(-PV(חישובים!$D$21,(('הנחות עסקה'!$D$72*'הנחות עסקה'!$I$70)/365),,((0.1*(ROUND('מודל כלכלי'!$C$59*(1+0.06)^11,-4)))+((('הנחות עסקה'!$D$72*'הנחות עסקה'!$I$70)/365)*חישובים!$D$23*(0.1*(ROUND('מודל כלכלי'!$C$59*(1+0.06)^11,-4)))*0.5)))))+(-PV(חישובים!$D$21/12,(('הנחות עסקה'!$D$72*'הנחות עסקה'!$I$70)/365*12),(-FV('מודל כלכלי'!$C$20,(11+(('הנחות עסקה'!$D$71-'הנחות עסקה'!$D$72)*'הנחות עסקה'!$I$70)/365),,'מודל כלכלי'!$C$53)))))*היוון!$C$26)),ROUND('מודל כלכלי'!$C$59*(1+0.06)^11,-4)))*'מודל כלכלי'!$C$14-'מודל כלכלי'!$C$68*(IF('מודל כלכלי'!$C$26="פליפ",((-PV(חישובים!$D$21/12,(('הנחות עסקה'!$D$72*'הנחות עסקה'!$I$70)/365*12),(-FV('מודל כלכלי'!$C$20,(11+(('הנחות עסקה'!$D$71-'הנחות עסקה'!$D$72)*'הנחות עסקה'!$I$70)/365),,'מודל כלכלי'!$C$53))))+((0.07*(ROUND('מודל כלכלי'!$C$59*(1+0.06)^11,-4)))+(0.13*(ROUND('מודל כלכלי'!$C$59*(1+0.06)^11,-4)))+(-PV(חישובים!$D$21,((('הנחות עסקה'!$D$72*'הנחות עסקה'!$I$70)-30)/365),,((0.7*(ROUND('מודל כלכלי'!$C$59*(1+0.06)^11,-4)))+(((('הנחות עסקה'!$D$72*'הנחות עסקה'!$I$70)-30)/365)*חישובים!$D$23*(0.7*(ROUND('מודל כלכלי'!$C$59*(1+0.06)^11,-4)))*0.5))))+(-PV(חישובים!$D$21,(('הנחות עסקה'!$D$72*'הנחות עסקה'!$I$70)/365),,((0.1*(ROUND('מודל כלכלי'!$C$59*(1+0.06)^11,-4)))+((('הנחות עסקה'!$D$72*'הנחות עסקה'!$I$70)/365)*חישובים!$D$23*(0.1*(ROUND('מודל כלכלי'!$C$59*(1+0.06)^11,-4)))*0.5)))))+(-(((0.07*(ROUND('מודל כלכלי'!$C$59*(1+0.06)^11,-4)))+(0.13*(ROUND('מודל כלכלי'!$C$59*(1+0.06)^11,-4)))+(-PV(חישובים!$D$21,((('הנחות עסקה'!$D$72*'הנחות עסקה'!$I$70)-30)/365),,((0.7*(ROUND('מודל כלכלי'!$C$59*(1+0.06)^11,-4)))+(((('הנחות עסקה'!$D$72*'הנחות עסקה'!$I$70)-30)/365)*חישובים!$D$23*(0.7*(ROUND('מודל כלכלי'!$C$59*(1+0.06)^11,-4)))*0.5))))+(-PV(חישובים!$D$21,(('הנחות עסקה'!$D$72*'הנחות עסקה'!$I$70)/365),,((0.1*(ROUND('מודל כלכלי'!$C$59*(1+0.06)^11,-4)))+((('הנחות עסקה'!$D$72*'הנחות עסקה'!$I$70)/365)*חישובים!$D$23*(0.1*(ROUND('מודל כלכלי'!$C$59*(1+0.06)^11,-4)))*0.5)))))+(-PV(חישובים!$D$21/12,(('הנחות עסקה'!$D$72*'הנחות עסקה'!$I$70)/365*12),(-FV('מודל כלכלי'!$C$20,(11+(('הנחות עסקה'!$D$71-'הנחות עסקה'!$D$72)*'הנחות עסקה'!$I$70)/365),,'מודל כלכלי'!$C$53)))))*היוון!$C$26)),ROUND('מודל כלכלי'!$C$59*(1+0.06)^11,-4)))*'מודל כלכלי'!$C$14+'מודל כלכלי'!$C$70,-3))+(ROUND(-FV(חישובים!$D$22,11*12,'מודל כלכלי'!$C$55),-3))+(-'מודל כלכלי'!$C$45)+(-MAX(0,(IF('מודל כלכלי'!$C$26="פליפ",((-PV(חישובים!$D$21/12,(('הנחות עסקה'!$D$72*'הנחות עסקה'!$I$70)/365*12),(-FV('מודל כלכלי'!$C$20,(11+(('הנחות עסקה'!$D$71-'הנחות עסקה'!$D$72)*'הנחות עסקה'!$I$70)/365),,'מודל כלכלי'!$C$53))))+((0.07*(ROUND('מודל כלכלי'!$C$59*(1+0.06)^11,-4)))+(0.13*(ROUND('מודל כלכלי'!$C$59*(1+0.06)^11,-4)))+(-PV(חישובים!$D$21,((('הנחות עסקה'!$D$72*'הנחות עסקה'!$I$70)-30)/365),,((0.7*(ROUND('מודל כלכלי'!$C$59*(1+0.06)^11,-4)))+(((('הנחות עסקה'!$D$72*'הנחות עסקה'!$I$70)-30)/365)*חישובים!$D$23*(0.7*(ROUND('מודל כלכלי'!$C$59*(1+0.06)^11,-4)))*0.5))))+(-PV(חישובים!$D$21,(('הנחות עסקה'!$D$72*'הנחות עסקה'!$I$70)/365),,((0.1*(ROUND('מודל כלכלי'!$C$59*(1+0.06)^11,-4)))+((('הנחות עסקה'!$D$72*'הנחות עסקה'!$I$70)/365)*חישובים!$D$23*(0.1*(ROUND('מודל כלכלי'!$C$59*(1+0.06)^11,-4)))*0.5)))))+(-(((0.07*(ROUND('מודל כלכלי'!$C$59*(1+0.06)^11,-4)))+(0.13*(ROUND('מודל כלכלי'!$C$59*(1+0.06)^11,-4)))+(-PV(חישובים!$D$21,((('הנחות עסקה'!$D$72*'הנחות עסקה'!$I$70)-30)/365),,((0.7*(ROUND('מודל כלכלי'!$C$59*(1+0.06)^11,-4)))+(((('הנחות עסקה'!$D$72*'הנחות עסקה'!$I$70)-30)/365)*חישובים!$D$23*(0.7*(ROUND('מודל כלכלי'!$C$59*(1+0.06)^11,-4)))*0.5))))+(-PV(חישובים!$D$21,(('הנחות עסקה'!$D$72*'הנחות עסקה'!$I$70)/365),,((0.1*(ROUND('מודל כלכלי'!$C$59*(1+0.06)^11,-4)))+((('הנחות עסקה'!$D$72*'הנחות עסקה'!$I$70)/365)*חישובים!$D$23*(0.1*(ROUND('מודל כלכלי'!$C$59*(1+0.06)^11,-4)))*0.5)))))+(-PV(חישובים!$D$21/12,(('הנחות עסקה'!$D$72*'הנחות עסקה'!$I$70)/365*12),(-FV('מודל כלכלי'!$C$20,(11+(('הנחות עסקה'!$D$71-'הנחות עסקה'!$D$72)*'הנחות עסקה'!$I$70)/365),,'מודל כלכלי'!$C$53)))))*היוון!$C$26)),ROUND('מודל כלכלי'!$C$59*(1+0.06)^11,-4)))-(חישובים!$D$28*(1+חישובים!$D$29)^11))*0.25),-4))+'מודל כלכלי'!$C$45)/'מודל כלכלי'!$C$45)^(1/11)-1</f>
        <v>0.18284710215681277</v>
      </c>
      <c r="I14" s="59">
        <f>(((ROUND((IF('מודל כלכלי'!$C$26="פליפ",((-PV(חישובים!$D$21/12,(('הנחות עסקה'!$D$72*'הנחות עסקה'!$I$70)/365*12),(-FV('מודל כלכלי'!$C$20,(12+(('הנחות עסקה'!$D$71-'הנחות עסקה'!$D$72)*'הנחות עסקה'!$I$70)/365),,'מודל כלכלי'!$C$53))))+((0.07*(ROUND('מודל כלכלי'!$C$59*(1+0.06)^12,-4)))+(0.13*(ROUND('מודל כלכלי'!$C$59*(1+0.06)^12,-4)))+(-PV(חישובים!$D$21,((('הנחות עסקה'!$D$72*'הנחות עסקה'!$I$70)-30)/365),,((0.7*(ROUND('מודל כלכלי'!$C$59*(1+0.06)^12,-4)))+(((('הנחות עסקה'!$D$72*'הנחות עסקה'!$I$70)-30)/365)*חישובים!$D$23*(0.7*(ROUND('מודל כלכלי'!$C$59*(1+0.06)^12,-4)))*0.5))))+(-PV(חישובים!$D$21,(('הנחות עסקה'!$D$72*'הנחות עסקה'!$I$70)/365),,((0.1*(ROUND('מודל כלכלי'!$C$59*(1+0.06)^12,-4)))+((('הנחות עסקה'!$D$72*'הנחות עסקה'!$I$70)/365)*חישובים!$D$23*(0.1*(ROUND('מודל כלכלי'!$C$59*(1+0.06)^12,-4)))*0.5)))))+(-(((0.07*(ROUND('מודל כלכלי'!$C$59*(1+0.06)^12,-4)))+(0.13*(ROUND('מודל כלכלי'!$C$59*(1+0.06)^12,-4)))+(-PV(חישובים!$D$21,((('הנחות עסקה'!$D$72*'הנחות עסקה'!$I$70)-30)/365),,((0.7*(ROUND('מודל כלכלי'!$C$59*(1+0.06)^12,-4)))+(((('הנחות עסקה'!$D$72*'הנחות עסקה'!$I$70)-30)/365)*חישובים!$D$23*(0.7*(ROUND('מודל כלכלי'!$C$59*(1+0.06)^12,-4)))*0.5))))+(-PV(חישובים!$D$21,(('הנחות עסקה'!$D$72*'הנחות עסקה'!$I$70)/365),,((0.1*(ROUND('מודל כלכלי'!$C$59*(1+0.06)^12,-4)))+((('הנחות עסקה'!$D$72*'הנחות עסקה'!$I$70)/365)*חישובים!$D$23*(0.1*(ROUND('מודל כלכלי'!$C$59*(1+0.06)^12,-4)))*0.5)))))+(-PV(חישובים!$D$21/12,(('הנחות עסקה'!$D$72*'הנחות עסקה'!$I$70)/365*12),(-FV('מודל כלכלי'!$C$20,(12+(('הנחות עסקה'!$D$71-'הנחות עסקה'!$D$72)*'הנחות עסקה'!$I$70)/365),,'מודל כלכלי'!$C$53)))))*היוון!$C$26)),ROUND('מודל כלכלי'!$C$59*(1+0.06)^12,-4)))+(ROUND(FV('מודל כלכלי'!$C$17/12,12*12,'מודל כלכלי'!$C$48,'מודל כלכלי'!$C$46),-4))+(ROUND(-'מודל כלכלי'!$C$66*(IF('מודל כלכלי'!$C$26="פליפ",((-PV(חישובים!$D$21/12,(('הנחות עסקה'!$D$72*'הנחות עסקה'!$I$70)/365*12),(-FV('מודל כלכלי'!$C$20,(12+(('הנחות עסקה'!$D$71-'הנחות עסקה'!$D$72)*'הנחות עסקה'!$I$70)/365),,'מודל כלכלי'!$C$53))))+((0.07*(ROUND('מודל כלכלי'!$C$59*(1+0.06)^12,-4)))+(0.13*(ROUND('מודל כלכלי'!$C$59*(1+0.06)^12,-4)))+(-PV(חישובים!$D$21,((('הנחות עסקה'!$D$72*'הנחות עסקה'!$I$70)-30)/365),,((0.7*(ROUND('מודל כלכלי'!$C$59*(1+0.06)^12,-4)))+(((('הנחות עסקה'!$D$72*'הנחות עסקה'!$I$70)-30)/365)*חישובים!$D$23*(0.7*(ROUND('מודל כלכלי'!$C$59*(1+0.06)^12,-4)))*0.5))))+(-PV(חישובים!$D$21,(('הנחות עסקה'!$D$72*'הנחות עסקה'!$I$70)/365),,((0.1*(ROUND('מודל כלכלי'!$C$59*(1+0.06)^12,-4)))+((('הנחות עסקה'!$D$72*'הנחות עסקה'!$I$70)/365)*חישובים!$D$23*(0.1*(ROUND('מודל כלכלי'!$C$59*(1+0.06)^12,-4)))*0.5)))))+(-(((0.07*(ROUND('מודל כלכלי'!$C$59*(1+0.06)^12,-4)))+(0.13*(ROUND('מודל כלכלי'!$C$59*(1+0.06)^12,-4)))+(-PV(חישובים!$D$21,((('הנחות עסקה'!$D$72*'הנחות עסקה'!$I$70)-30)/365),,((0.7*(ROUND('מודל כלכלי'!$C$59*(1+0.06)^12,-4)))+(((('הנחות עסקה'!$D$72*'הנחות עסקה'!$I$70)-30)/365)*חישובים!$D$23*(0.7*(ROUND('מודל כלכלי'!$C$59*(1+0.06)^12,-4)))*0.5))))+(-PV(חישובים!$D$21,(('הנחות עסקה'!$D$72*'הנחות עסקה'!$I$70)/365),,((0.1*(ROUND('מודל כלכלי'!$C$59*(1+0.06)^12,-4)))+((('הנחות עסקה'!$D$72*'הנחות עסקה'!$I$70)/365)*חישובים!$D$23*(0.1*(ROUND('מודל כלכלי'!$C$59*(1+0.06)^12,-4)))*0.5)))))+(-PV(חישובים!$D$21/12,(('הנחות עסקה'!$D$72*'הנחות עסקה'!$I$70)/365*12),(-FV('מודל כלכלי'!$C$20,(12+(('הנחות עסקה'!$D$71-'הנחות עסקה'!$D$72)*'הנחות עסקה'!$I$70)/365),,'מודל כלכלי'!$C$53)))))*היוון!$C$26)),ROUND('מודל כלכלי'!$C$59*(1+0.06)^12,-4)))*'מודל כלכלי'!$C$14-'מודל כלכלי'!$C$68*(IF('מודל כלכלי'!$C$26="פליפ",((-PV(חישובים!$D$21/12,(('הנחות עסקה'!$D$72*'הנחות עסקה'!$I$70)/365*12),(-FV('מודל כלכלי'!$C$20,(12+(('הנחות עסקה'!$D$71-'הנחות עסקה'!$D$72)*'הנחות עסקה'!$I$70)/365),,'מודל כלכלי'!$C$53))))+((0.07*(ROUND('מודל כלכלי'!$C$59*(1+0.06)^12,-4)))+(0.13*(ROUND('מודל כלכלי'!$C$59*(1+0.06)^12,-4)))+(-PV(חישובים!$D$21,((('הנחות עסקה'!$D$72*'הנחות עסקה'!$I$70)-30)/365),,((0.7*(ROUND('מודל כלכלי'!$C$59*(1+0.06)^12,-4)))+(((('הנחות עסקה'!$D$72*'הנחות עסקה'!$I$70)-30)/365)*חישובים!$D$23*(0.7*(ROUND('מודל כלכלי'!$C$59*(1+0.06)^12,-4)))*0.5))))+(-PV(חישובים!$D$21,(('הנחות עסקה'!$D$72*'הנחות עסקה'!$I$70)/365),,((0.1*(ROUND('מודל כלכלי'!$C$59*(1+0.06)^12,-4)))+((('הנחות עסקה'!$D$72*'הנחות עסקה'!$I$70)/365)*חישובים!$D$23*(0.1*(ROUND('מודל כלכלי'!$C$59*(1+0.06)^12,-4)))*0.5)))))+(-(((0.07*(ROUND('מודל כלכלי'!$C$59*(1+0.06)^12,-4)))+(0.13*(ROUND('מודל כלכלי'!$C$59*(1+0.06)^12,-4)))+(-PV(חישובים!$D$21,((('הנחות עסקה'!$D$72*'הנחות עסקה'!$I$70)-30)/365),,((0.7*(ROUND('מודל כלכלי'!$C$59*(1+0.06)^12,-4)))+(((('הנחות עסקה'!$D$72*'הנחות עסקה'!$I$70)-30)/365)*חישובים!$D$23*(0.7*(ROUND('מודל כלכלי'!$C$59*(1+0.06)^12,-4)))*0.5))))+(-PV(חישובים!$D$21,(('הנחות עסקה'!$D$72*'הנחות עסקה'!$I$70)/365),,((0.1*(ROUND('מודל כלכלי'!$C$59*(1+0.06)^12,-4)))+((('הנחות עסקה'!$D$72*'הנחות עסקה'!$I$70)/365)*חישובים!$D$23*(0.1*(ROUND('מודל כלכלי'!$C$59*(1+0.06)^12,-4)))*0.5)))))+(-PV(חישובים!$D$21/12,(('הנחות עסקה'!$D$72*'הנחות עסקה'!$I$70)/365*12),(-FV('מודל כלכלי'!$C$20,(12+(('הנחות עסקה'!$D$71-'הנחות עסקה'!$D$72)*'הנחות עסקה'!$I$70)/365),,'מודל כלכלי'!$C$53)))))*היוון!$C$26)),ROUND('מודל כלכלי'!$C$59*(1+0.06)^12,-4)))*'מודל כלכלי'!$C$14+'מודל כלכלי'!$C$70,-3))+(ROUND(-FV(חישובים!$D$22,12*12,'מודל כלכלי'!$C$55),-3))+(-'מודל כלכלי'!$C$45)+(-MAX(0,(IF('מודל כלכלי'!$C$26="פליפ",((-PV(חישובים!$D$21/12,(('הנחות עסקה'!$D$72*'הנחות עסקה'!$I$70)/365*12),(-FV('מודל כלכלי'!$C$20,(12+(('הנחות עסקה'!$D$71-'הנחות עסקה'!$D$72)*'הנחות עסקה'!$I$70)/365),,'מודל כלכלי'!$C$53))))+((0.07*(ROUND('מודל כלכלי'!$C$59*(1+0.06)^12,-4)))+(0.13*(ROUND('מודל כלכלי'!$C$59*(1+0.06)^12,-4)))+(-PV(חישובים!$D$21,((('הנחות עסקה'!$D$72*'הנחות עסקה'!$I$70)-30)/365),,((0.7*(ROUND('מודל כלכלי'!$C$59*(1+0.06)^12,-4)))+(((('הנחות עסקה'!$D$72*'הנחות עסקה'!$I$70)-30)/365)*חישובים!$D$23*(0.7*(ROUND('מודל כלכלי'!$C$59*(1+0.06)^12,-4)))*0.5))))+(-PV(חישובים!$D$21,(('הנחות עסקה'!$D$72*'הנחות עסקה'!$I$70)/365),,((0.1*(ROUND('מודל כלכלי'!$C$59*(1+0.06)^12,-4)))+((('הנחות עסקה'!$D$72*'הנחות עסקה'!$I$70)/365)*חישובים!$D$23*(0.1*(ROUND('מודל כלכלי'!$C$59*(1+0.06)^12,-4)))*0.5)))))+(-(((0.07*(ROUND('מודל כלכלי'!$C$59*(1+0.06)^12,-4)))+(0.13*(ROUND('מודל כלכלי'!$C$59*(1+0.06)^12,-4)))+(-PV(חישובים!$D$21,((('הנחות עסקה'!$D$72*'הנחות עסקה'!$I$70)-30)/365),,((0.7*(ROUND('מודל כלכלי'!$C$59*(1+0.06)^12,-4)))+(((('הנחות עסקה'!$D$72*'הנחות עסקה'!$I$70)-30)/365)*חישובים!$D$23*(0.7*(ROUND('מודל כלכלי'!$C$59*(1+0.06)^12,-4)))*0.5))))+(-PV(חישובים!$D$21,(('הנחות עסקה'!$D$72*'הנחות עסקה'!$I$70)/365),,((0.1*(ROUND('מודל כלכלי'!$C$59*(1+0.06)^12,-4)))+((('הנחות עסקה'!$D$72*'הנחות עסקה'!$I$70)/365)*חישובים!$D$23*(0.1*(ROUND('מודל כלכלי'!$C$59*(1+0.06)^12,-4)))*0.5)))))+(-PV(חישובים!$D$21/12,(('הנחות עסקה'!$D$72*'הנחות עסקה'!$I$70)/365*12),(-FV('מודל כלכלי'!$C$20,(12+(('הנחות עסקה'!$D$71-'הנחות עסקה'!$D$72)*'הנחות עסקה'!$I$70)/365),,'מודל כלכלי'!$C$53)))))*היוון!$C$26)),ROUND('מודל כלכלי'!$C$59*(1+0.06)^12,-4)))-(חישובים!$D$28*(1+חישובים!$D$29)^12))*0.25),-4))+'מודל כלכלי'!$C$45)/'מודל כלכלי'!$C$45)^(1/12)-1</f>
        <v>0.17382110321911814</v>
      </c>
      <c r="J14" s="59">
        <f>(((ROUND((IF('מודל כלכלי'!$C$26="פליפ",((-PV(חישובים!$D$21/12,(('הנחות עסקה'!$D$72*'הנחות עסקה'!$I$70)/365*12),(-FV('מודל כלכלי'!$C$20,(13+(('הנחות עסקה'!$D$71-'הנחות עסקה'!$D$72)*'הנחות עסקה'!$I$70)/365),,'מודל כלכלי'!$C$53))))+((0.07*(ROUND('מודל כלכלי'!$C$59*(1+0.06)^13,-4)))+(0.13*(ROUND('מודל כלכלי'!$C$59*(1+0.06)^13,-4)))+(-PV(חישובים!$D$21,((('הנחות עסקה'!$D$72*'הנחות עסקה'!$I$70)-30)/365),,((0.7*(ROUND('מודל כלכלי'!$C$59*(1+0.06)^13,-4)))+(((('הנחות עסקה'!$D$72*'הנחות עסקה'!$I$70)-30)/365)*חישובים!$D$23*(0.7*(ROUND('מודל כלכלי'!$C$59*(1+0.06)^13,-4)))*0.5))))+(-PV(חישובים!$D$21,(('הנחות עסקה'!$D$72*'הנחות עסקה'!$I$70)/365),,((0.1*(ROUND('מודל כלכלי'!$C$59*(1+0.06)^13,-4)))+((('הנחות עסקה'!$D$72*'הנחות עסקה'!$I$70)/365)*חישובים!$D$23*(0.1*(ROUND('מודל כלכלי'!$C$59*(1+0.06)^13,-4)))*0.5)))))+(-(((0.07*(ROUND('מודל כלכלי'!$C$59*(1+0.06)^13,-4)))+(0.13*(ROUND('מודל כלכלי'!$C$59*(1+0.06)^13,-4)))+(-PV(חישובים!$D$21,((('הנחות עסקה'!$D$72*'הנחות עסקה'!$I$70)-30)/365),,((0.7*(ROUND('מודל כלכלי'!$C$59*(1+0.06)^13,-4)))+(((('הנחות עסקה'!$D$72*'הנחות עסקה'!$I$70)-30)/365)*חישובים!$D$23*(0.7*(ROUND('מודל כלכלי'!$C$59*(1+0.06)^13,-4)))*0.5))))+(-PV(חישובים!$D$21,(('הנחות עסקה'!$D$72*'הנחות עסקה'!$I$70)/365),,((0.1*(ROUND('מודל כלכלי'!$C$59*(1+0.06)^13,-4)))+((('הנחות עסקה'!$D$72*'הנחות עסקה'!$I$70)/365)*חישובים!$D$23*(0.1*(ROUND('מודל כלכלי'!$C$59*(1+0.06)^13,-4)))*0.5)))))+(-PV(חישובים!$D$21/12,(('הנחות עסקה'!$D$72*'הנחות עסקה'!$I$70)/365*12),(-FV('מודל כלכלי'!$C$20,(13+(('הנחות עסקה'!$D$71-'הנחות עסקה'!$D$72)*'הנחות עסקה'!$I$70)/365),,'מודל כלכלי'!$C$53)))))*היוון!$C$26)),ROUND('מודל כלכלי'!$C$59*(1+0.06)^13,-4)))+(ROUND(FV('מודל כלכלי'!$C$17/12,13*12,'מודל כלכלי'!$C$48,'מודל כלכלי'!$C$46),-4))+(ROUND(-'מודל כלכלי'!$C$66*(IF('מודל כלכלי'!$C$26="פליפ",((-PV(חישובים!$D$21/12,(('הנחות עסקה'!$D$72*'הנחות עסקה'!$I$70)/365*12),(-FV('מודל כלכלי'!$C$20,(13+(('הנחות עסקה'!$D$71-'הנחות עסקה'!$D$72)*'הנחות עסקה'!$I$70)/365),,'מודל כלכלי'!$C$53))))+((0.07*(ROUND('מודל כלכלי'!$C$59*(1+0.06)^13,-4)))+(0.13*(ROUND('מודל כלכלי'!$C$59*(1+0.06)^13,-4)))+(-PV(חישובים!$D$21,((('הנחות עסקה'!$D$72*'הנחות עסקה'!$I$70)-30)/365),,((0.7*(ROUND('מודל כלכלי'!$C$59*(1+0.06)^13,-4)))+(((('הנחות עסקה'!$D$72*'הנחות עסקה'!$I$70)-30)/365)*חישובים!$D$23*(0.7*(ROUND('מודל כלכלי'!$C$59*(1+0.06)^13,-4)))*0.5))))+(-PV(חישובים!$D$21,(('הנחות עסקה'!$D$72*'הנחות עסקה'!$I$70)/365),,((0.1*(ROUND('מודל כלכלי'!$C$59*(1+0.06)^13,-4)))+((('הנחות עסקה'!$D$72*'הנחות עסקה'!$I$70)/365)*חישובים!$D$23*(0.1*(ROUND('מודל כלכלי'!$C$59*(1+0.06)^13,-4)))*0.5)))))+(-(((0.07*(ROUND('מודל כלכלי'!$C$59*(1+0.06)^13,-4)))+(0.13*(ROUND('מודל כלכלי'!$C$59*(1+0.06)^13,-4)))+(-PV(חישובים!$D$21,((('הנחות עסקה'!$D$72*'הנחות עסקה'!$I$70)-30)/365),,((0.7*(ROUND('מודל כלכלי'!$C$59*(1+0.06)^13,-4)))+(((('הנחות עסקה'!$D$72*'הנחות עסקה'!$I$70)-30)/365)*חישובים!$D$23*(0.7*(ROUND('מודל כלכלי'!$C$59*(1+0.06)^13,-4)))*0.5))))+(-PV(חישובים!$D$21,(('הנחות עסקה'!$D$72*'הנחות עסקה'!$I$70)/365),,((0.1*(ROUND('מודל כלכלי'!$C$59*(1+0.06)^13,-4)))+((('הנחות עסקה'!$D$72*'הנחות עסקה'!$I$70)/365)*חישובים!$D$23*(0.1*(ROUND('מודל כלכלי'!$C$59*(1+0.06)^13,-4)))*0.5)))))+(-PV(חישובים!$D$21/12,(('הנחות עסקה'!$D$72*'הנחות עסקה'!$I$70)/365*12),(-FV('מודל כלכלי'!$C$20,(13+(('הנחות עסקה'!$D$71-'הנחות עסקה'!$D$72)*'הנחות עסקה'!$I$70)/365),,'מודל כלכלי'!$C$53)))))*היוון!$C$26)),ROUND('מודל כלכלי'!$C$59*(1+0.06)^13,-4)))*'מודל כלכלי'!$C$14-'מודל כלכלי'!$C$68*(IF('מודל כלכלי'!$C$26="פליפ",((-PV(חישובים!$D$21/12,(('הנחות עסקה'!$D$72*'הנחות עסקה'!$I$70)/365*12),(-FV('מודל כלכלי'!$C$20,(13+(('הנחות עסקה'!$D$71-'הנחות עסקה'!$D$72)*'הנחות עסקה'!$I$70)/365),,'מודל כלכלי'!$C$53))))+((0.07*(ROUND('מודל כלכלי'!$C$59*(1+0.06)^13,-4)))+(0.13*(ROUND('מודל כלכלי'!$C$59*(1+0.06)^13,-4)))+(-PV(חישובים!$D$21,((('הנחות עסקה'!$D$72*'הנחות עסקה'!$I$70)-30)/365),,((0.7*(ROUND('מודל כלכלי'!$C$59*(1+0.06)^13,-4)))+(((('הנחות עסקה'!$D$72*'הנחות עסקה'!$I$70)-30)/365)*חישובים!$D$23*(0.7*(ROUND('מודל כלכלי'!$C$59*(1+0.06)^13,-4)))*0.5))))+(-PV(חישובים!$D$21,(('הנחות עסקה'!$D$72*'הנחות עסקה'!$I$70)/365),,((0.1*(ROUND('מודל כלכלי'!$C$59*(1+0.06)^13,-4)))+((('הנחות עסקה'!$D$72*'הנחות עסקה'!$I$70)/365)*חישובים!$D$23*(0.1*(ROUND('מודל כלכלי'!$C$59*(1+0.06)^13,-4)))*0.5)))))+(-(((0.07*(ROUND('מודל כלכלי'!$C$59*(1+0.06)^13,-4)))+(0.13*(ROUND('מודל כלכלי'!$C$59*(1+0.06)^13,-4)))+(-PV(חישובים!$D$21,((('הנחות עסקה'!$D$72*'הנחות עסקה'!$I$70)-30)/365),,((0.7*(ROUND('מודל כלכלי'!$C$59*(1+0.06)^13,-4)))+(((('הנחות עסקה'!$D$72*'הנחות עסקה'!$I$70)-30)/365)*חישובים!$D$23*(0.7*(ROUND('מודל כלכלי'!$C$59*(1+0.06)^13,-4)))*0.5))))+(-PV(חישובים!$D$21,(('הנחות עסקה'!$D$72*'הנחות עסקה'!$I$70)/365),,((0.1*(ROUND('מודל כלכלי'!$C$59*(1+0.06)^13,-4)))+((('הנחות עסקה'!$D$72*'הנחות עסקה'!$I$70)/365)*חישובים!$D$23*(0.1*(ROUND('מודל כלכלי'!$C$59*(1+0.06)^13,-4)))*0.5)))))+(-PV(חישובים!$D$21/12,(('הנחות עסקה'!$D$72*'הנחות עסקה'!$I$70)/365*12),(-FV('מודל כלכלי'!$C$20,(13+(('הנחות עסקה'!$D$71-'הנחות עסקה'!$D$72)*'הנחות עסקה'!$I$70)/365),,'מודל כלכלי'!$C$53)))))*היוון!$C$26)),ROUND('מודל כלכלי'!$C$59*(1+0.06)^13,-4)))*'מודל כלכלי'!$C$14+'מודל כלכלי'!$C$70,-3))+(ROUND(-FV(חישובים!$D$22,13*12,'מודל כלכלי'!$C$55),-3))+(-'מודל כלכלי'!$C$45)+(-MAX(0,(IF('מודל כלכלי'!$C$26="פליפ",((-PV(חישובים!$D$21/12,(('הנחות עסקה'!$D$72*'הנחות עסקה'!$I$70)/365*12),(-FV('מודל כלכלי'!$C$20,(13+(('הנחות עסקה'!$D$71-'הנחות עסקה'!$D$72)*'הנחות עסקה'!$I$70)/365),,'מודל כלכלי'!$C$53))))+((0.07*(ROUND('מודל כלכלי'!$C$59*(1+0.06)^13,-4)))+(0.13*(ROUND('מודל כלכלי'!$C$59*(1+0.06)^13,-4)))+(-PV(חישובים!$D$21,((('הנחות עסקה'!$D$72*'הנחות עסקה'!$I$70)-30)/365),,((0.7*(ROUND('מודל כלכלי'!$C$59*(1+0.06)^13,-4)))+(((('הנחות עסקה'!$D$72*'הנחות עסקה'!$I$70)-30)/365)*חישובים!$D$23*(0.7*(ROUND('מודל כלכלי'!$C$59*(1+0.06)^13,-4)))*0.5))))+(-PV(חישובים!$D$21,(('הנחות עסקה'!$D$72*'הנחות עסקה'!$I$70)/365),,((0.1*(ROUND('מודל כלכלי'!$C$59*(1+0.06)^13,-4)))+((('הנחות עסקה'!$D$72*'הנחות עסקה'!$I$70)/365)*חישובים!$D$23*(0.1*(ROUND('מודל כלכלי'!$C$59*(1+0.06)^13,-4)))*0.5)))))+(-(((0.07*(ROUND('מודל כלכלי'!$C$59*(1+0.06)^13,-4)))+(0.13*(ROUND('מודל כלכלי'!$C$59*(1+0.06)^13,-4)))+(-PV(חישובים!$D$21,((('הנחות עסקה'!$D$72*'הנחות עסקה'!$I$70)-30)/365),,((0.7*(ROUND('מודל כלכלי'!$C$59*(1+0.06)^13,-4)))+(((('הנחות עסקה'!$D$72*'הנחות עסקה'!$I$70)-30)/365)*חישובים!$D$23*(0.7*(ROUND('מודל כלכלי'!$C$59*(1+0.06)^13,-4)))*0.5))))+(-PV(חישובים!$D$21,(('הנחות עסקה'!$D$72*'הנחות עסקה'!$I$70)/365),,((0.1*(ROUND('מודל כלכלי'!$C$59*(1+0.06)^13,-4)))+((('הנחות עסקה'!$D$72*'הנחות עסקה'!$I$70)/365)*חישובים!$D$23*(0.1*(ROUND('מודל כלכלי'!$C$59*(1+0.06)^13,-4)))*0.5)))))+(-PV(חישובים!$D$21/12,(('הנחות עסקה'!$D$72*'הנחות עסקה'!$I$70)/365*12),(-FV('מודל כלכלי'!$C$20,(13+(('הנחות עסקה'!$D$71-'הנחות עסקה'!$D$72)*'הנחות עסקה'!$I$70)/365),,'מודל כלכלי'!$C$53)))))*היוון!$C$26)),ROUND('מודל כלכלי'!$C$59*(1+0.06)^13,-4)))-(חישובים!$D$28*(1+חישובים!$D$29)^13))*0.25),-4))+'מודל כלכלי'!$C$45)/'מודל כלכלי'!$C$45)^(1/13)-1</f>
        <v>0.16612574122454293</v>
      </c>
    </row>
    <row r="16" spans="2:12" ht="19.5" customHeight="1">
      <c r="B16" s="10" t="s">
        <v>305</v>
      </c>
      <c r="C16" s="10"/>
      <c r="D16" s="10"/>
      <c r="E16" s="10"/>
      <c r="F16" s="10"/>
      <c r="G16" s="10"/>
      <c r="H16" s="10"/>
      <c r="I16" s="10"/>
      <c r="J16" s="10"/>
    </row>
    <row r="17" spans="2:10" ht="15" customHeight="1">
      <c r="B17" s="72" t="s">
        <v>304</v>
      </c>
      <c r="C17" s="64">
        <v>6</v>
      </c>
      <c r="D17" s="64">
        <v>7</v>
      </c>
      <c r="E17" s="64">
        <v>8</v>
      </c>
      <c r="F17" s="64">
        <v>9</v>
      </c>
      <c r="G17" s="64">
        <v>10</v>
      </c>
      <c r="H17" s="64">
        <v>11</v>
      </c>
      <c r="I17" s="64">
        <v>12</v>
      </c>
      <c r="J17" s="64">
        <v>13</v>
      </c>
    </row>
    <row r="18" spans="2:10" ht="15" customHeight="1">
      <c r="B18" s="74">
        <v>0.02</v>
      </c>
      <c r="C18" s="24">
        <f>ROUND((IF('מודל כלכלי'!$C$26="פליפ",((-PV(חישובים!$D$21/12,(('הנחות עסקה'!$D$72*'הנחות עסקה'!$I$70)/365*12),(-FV('מודל כלכלי'!$C$20,(6+(('הנחות עסקה'!$D$71-'הנחות עסקה'!$D$72)*'הנחות עסקה'!$I$70)/365),,'מודל כלכלי'!$C$53))))+((0.07*(ROUND('מודל כלכלי'!$C$59*(1+0.02)^6,-4)))+(0.13*(ROUND('מודל כלכלי'!$C$59*(1+0.02)^6,-4)))+(-PV(חישובים!$D$21,((('הנחות עסקה'!$D$72*'הנחות עסקה'!$I$70)-30)/365),,((0.7*(ROUND('מודל כלכלי'!$C$59*(1+0.02)^6,-4)))+(((('הנחות עסקה'!$D$72*'הנחות עסקה'!$I$70)-30)/365)*חישובים!$D$23*(0.7*(ROUND('מודל כלכלי'!$C$59*(1+0.02)^6,-4)))*0.5))))+(-PV(חישובים!$D$21,(('הנחות עסקה'!$D$72*'הנחות עסקה'!$I$70)/365),,((0.1*(ROUND('מודל כלכלי'!$C$59*(1+0.02)^6,-4)))+((('הנחות עסקה'!$D$72*'הנחות עסקה'!$I$70)/365)*חישובים!$D$23*(0.1*(ROUND('מודל כלכלי'!$C$59*(1+0.02)^6,-4)))*0.5)))))+(-(((0.07*(ROUND('מודל כלכלי'!$C$59*(1+0.02)^6,-4)))+(0.13*(ROUND('מודל כלכלי'!$C$59*(1+0.02)^6,-4)))+(-PV(חישובים!$D$21,((('הנחות עסקה'!$D$72*'הנחות עסקה'!$I$70)-30)/365),,((0.7*(ROUND('מודל כלכלי'!$C$59*(1+0.02)^6,-4)))+(((('הנחות עסקה'!$D$72*'הנחות עסקה'!$I$70)-30)/365)*חישובים!$D$23*(0.7*(ROUND('מודל כלכלי'!$C$59*(1+0.02)^6,-4)))*0.5))))+(-PV(חישובים!$D$21,(('הנחות עסקה'!$D$72*'הנחות עסקה'!$I$70)/365),,((0.1*(ROUND('מודל כלכלי'!$C$59*(1+0.02)^6,-4)))+((('הנחות עסקה'!$D$72*'הנחות עסקה'!$I$70)/365)*חישובים!$D$23*(0.1*(ROUND('מודל כלכלי'!$C$59*(1+0.02)^6,-4)))*0.5)))))+(-PV(חישובים!$D$21/12,(('הנחות עסקה'!$D$72*'הנחות עסקה'!$I$70)/365*12),(-FV('מודל כלכלי'!$C$20,(6+(('הנחות עסקה'!$D$71-'הנחות עסקה'!$D$72)*'הנחות עסקה'!$I$70)/365),,'מודל כלכלי'!$C$53)))))*היוון!$C$26)),ROUND('מודל כלכלי'!$C$59*(1+0.02)^6,-4)))+(ROUND(FV('מודל כלכלי'!$C$17/12,6*12,'מודל כלכלי'!$C$48,'מודל כלכלי'!$C$46),-4))+(ROUND(-'מודל כלכלי'!$C$66*(IF('מודל כלכלי'!$C$26="פליפ",((-PV(חישובים!$D$21/12,(('הנחות עסקה'!$D$72*'הנחות עסקה'!$I$70)/365*12),(-FV('מודל כלכלי'!$C$20,(6+(('הנחות עסקה'!$D$71-'הנחות עסקה'!$D$72)*'הנחות עסקה'!$I$70)/365),,'מודל כלכלי'!$C$53))))+((0.07*(ROUND('מודל כלכלי'!$C$59*(1+0.02)^6,-4)))+(0.13*(ROUND('מודל כלכלי'!$C$59*(1+0.02)^6,-4)))+(-PV(חישובים!$D$21,((('הנחות עסקה'!$D$72*'הנחות עסקה'!$I$70)-30)/365),,((0.7*(ROUND('מודל כלכלי'!$C$59*(1+0.02)^6,-4)))+(((('הנחות עסקה'!$D$72*'הנחות עסקה'!$I$70)-30)/365)*חישובים!$D$23*(0.7*(ROUND('מודל כלכלי'!$C$59*(1+0.02)^6,-4)))*0.5))))+(-PV(חישובים!$D$21,(('הנחות עסקה'!$D$72*'הנחות עסקה'!$I$70)/365),,((0.1*(ROUND('מודל כלכלי'!$C$59*(1+0.02)^6,-4)))+((('הנחות עסקה'!$D$72*'הנחות עסקה'!$I$70)/365)*חישובים!$D$23*(0.1*(ROUND('מודל כלכלי'!$C$59*(1+0.02)^6,-4)))*0.5)))))+(-(((0.07*(ROUND('מודל כלכלי'!$C$59*(1+0.02)^6,-4)))+(0.13*(ROUND('מודל כלכלי'!$C$59*(1+0.02)^6,-4)))+(-PV(חישובים!$D$21,((('הנחות עסקה'!$D$72*'הנחות עסקה'!$I$70)-30)/365),,((0.7*(ROUND('מודל כלכלי'!$C$59*(1+0.02)^6,-4)))+(((('הנחות עסקה'!$D$72*'הנחות עסקה'!$I$70)-30)/365)*חישובים!$D$23*(0.7*(ROUND('מודל כלכלי'!$C$59*(1+0.02)^6,-4)))*0.5))))+(-PV(חישובים!$D$21,(('הנחות עסקה'!$D$72*'הנחות עסקה'!$I$70)/365),,((0.1*(ROUND('מודל כלכלי'!$C$59*(1+0.02)^6,-4)))+((('הנחות עסקה'!$D$72*'הנחות עסקה'!$I$70)/365)*חישובים!$D$23*(0.1*(ROUND('מודל כלכלי'!$C$59*(1+0.02)^6,-4)))*0.5)))))+(-PV(חישובים!$D$21/12,(('הנחות עסקה'!$D$72*'הנחות עסקה'!$I$70)/365*12),(-FV('מודל כלכלי'!$C$20,(6+(('הנחות עסקה'!$D$71-'הנחות עסקה'!$D$72)*'הנחות עסקה'!$I$70)/365),,'מודל כלכלי'!$C$53)))))*היוון!$C$26)),ROUND('מודל כלכלי'!$C$59*(1+0.02)^6,-4)))*'מודל כלכלי'!$C$14-'מודל כלכלי'!$C$68*(IF('מודל כלכלי'!$C$26="פליפ",((-PV(חישובים!$D$21/12,(('הנחות עסקה'!$D$72*'הנחות עסקה'!$I$70)/365*12),(-FV('מודל כלכלי'!$C$20,(6+(('הנחות עסקה'!$D$71-'הנחות עסקה'!$D$72)*'הנחות עסקה'!$I$70)/365),,'מודל כלכלי'!$C$53))))+((0.07*(ROUND('מודל כלכלי'!$C$59*(1+0.02)^6,-4)))+(0.13*(ROUND('מודל כלכלי'!$C$59*(1+0.02)^6,-4)))+(-PV(חישובים!$D$21,((('הנחות עסקה'!$D$72*'הנחות עסקה'!$I$70)-30)/365),,((0.7*(ROUND('מודל כלכלי'!$C$59*(1+0.02)^6,-4)))+(((('הנחות עסקה'!$D$72*'הנחות עסקה'!$I$70)-30)/365)*חישובים!$D$23*(0.7*(ROUND('מודל כלכלי'!$C$59*(1+0.02)^6,-4)))*0.5))))+(-PV(חישובים!$D$21,(('הנחות עסקה'!$D$72*'הנחות עסקה'!$I$70)/365),,((0.1*(ROUND('מודל כלכלי'!$C$59*(1+0.02)^6,-4)))+((('הנחות עסקה'!$D$72*'הנחות עסקה'!$I$70)/365)*חישובים!$D$23*(0.1*(ROUND('מודל כלכלי'!$C$59*(1+0.02)^6,-4)))*0.5)))))+(-(((0.07*(ROUND('מודל כלכלי'!$C$59*(1+0.02)^6,-4)))+(0.13*(ROUND('מודל כלכלי'!$C$59*(1+0.02)^6,-4)))+(-PV(חישובים!$D$21,((('הנחות עסקה'!$D$72*'הנחות עסקה'!$I$70)-30)/365),,((0.7*(ROUND('מודל כלכלי'!$C$59*(1+0.02)^6,-4)))+(((('הנחות עסקה'!$D$72*'הנחות עסקה'!$I$70)-30)/365)*חישובים!$D$23*(0.7*(ROUND('מודל כלכלי'!$C$59*(1+0.02)^6,-4)))*0.5))))+(-PV(חישובים!$D$21,(('הנחות עסקה'!$D$72*'הנחות עסקה'!$I$70)/365),,((0.1*(ROUND('מודל כלכלי'!$C$59*(1+0.02)^6,-4)))+((('הנחות עסקה'!$D$72*'הנחות עסקה'!$I$70)/365)*חישובים!$D$23*(0.1*(ROUND('מודל כלכלי'!$C$59*(1+0.02)^6,-4)))*0.5)))))+(-PV(חישובים!$D$21/12,(('הנחות עסקה'!$D$72*'הנחות עסקה'!$I$70)/365*12),(-FV('מודל כלכלי'!$C$20,(6+(('הנחות עסקה'!$D$71-'הנחות עסקה'!$D$72)*'הנחות עסקה'!$I$70)/365),,'מודל כלכלי'!$C$53)))))*היוון!$C$26)),ROUND('מודל כלכלי'!$C$59*(1+0.02)^6,-4)))*'מודל כלכלי'!$C$14+'מודל כלכלי'!$C$70,-3))+(ROUND(-FV(חישובים!$D$22,6*12,'מודל כלכלי'!$C$55),-3))+(-'מודל כלכלי'!$C$45)+(-MAX(0,(IF('מודל כלכלי'!$C$26="פליפ",((-PV(חישובים!$D$21/12,(('הנחות עסקה'!$D$72*'הנחות עסקה'!$I$70)/365*12),(-FV('מודל כלכלי'!$C$20,(6+(('הנחות עסקה'!$D$71-'הנחות עסקה'!$D$72)*'הנחות עסקה'!$I$70)/365),,'מודל כלכלי'!$C$53))))+((0.07*(ROUND('מודל כלכלי'!$C$59*(1+0.02)^6,-4)))+(0.13*(ROUND('מודל כלכלי'!$C$59*(1+0.02)^6,-4)))+(-PV(חישובים!$D$21,((('הנחות עסקה'!$D$72*'הנחות עסקה'!$I$70)-30)/365),,((0.7*(ROUND('מודל כלכלי'!$C$59*(1+0.02)^6,-4)))+(((('הנחות עסקה'!$D$72*'הנחות עסקה'!$I$70)-30)/365)*חישובים!$D$23*(0.7*(ROUND('מודל כלכלי'!$C$59*(1+0.02)^6,-4)))*0.5))))+(-PV(חישובים!$D$21,(('הנחות עסקה'!$D$72*'הנחות עסקה'!$I$70)/365),,((0.1*(ROUND('מודל כלכלי'!$C$59*(1+0.02)^6,-4)))+((('הנחות עסקה'!$D$72*'הנחות עסקה'!$I$70)/365)*חישובים!$D$23*(0.1*(ROUND('מודל כלכלי'!$C$59*(1+0.02)^6,-4)))*0.5)))))+(-(((0.07*(ROUND('מודל כלכלי'!$C$59*(1+0.02)^6,-4)))+(0.13*(ROUND('מודל כלכלי'!$C$59*(1+0.02)^6,-4)))+(-PV(חישובים!$D$21,((('הנחות עסקה'!$D$72*'הנחות עסקה'!$I$70)-30)/365),,((0.7*(ROUND('מודל כלכלי'!$C$59*(1+0.02)^6,-4)))+(((('הנחות עסקה'!$D$72*'הנחות עסקה'!$I$70)-30)/365)*חישובים!$D$23*(0.7*(ROUND('מודל כלכלי'!$C$59*(1+0.02)^6,-4)))*0.5))))+(-PV(חישובים!$D$21,(('הנחות עסקה'!$D$72*'הנחות עסקה'!$I$70)/365),,((0.1*(ROUND('מודל כלכלי'!$C$59*(1+0.02)^6,-4)))+((('הנחות עסקה'!$D$72*'הנחות עסקה'!$I$70)/365)*חישובים!$D$23*(0.1*(ROUND('מודל כלכלי'!$C$59*(1+0.02)^6,-4)))*0.5)))))+(-PV(חישובים!$D$21/12,(('הנחות עסקה'!$D$72*'הנחות עסקה'!$I$70)/365*12),(-FV('מודל כלכלי'!$C$20,(6+(('הנחות עסקה'!$D$71-'הנחות עסקה'!$D$72)*'הנחות עסקה'!$I$70)/365),,'מודל כלכלי'!$C$53)))))*היוון!$C$26)),ROUND('מודל כלכלי'!$C$59*(1+0.02)^6,-4)))-(חישובים!$D$28*(1+חישובים!$D$29)^6))*0.25),-4)</f>
        <v>1210000</v>
      </c>
      <c r="D18" s="24">
        <f>ROUND((IF('מודל כלכלי'!$C$26="פליפ",((-PV(חישובים!$D$21/12,(('הנחות עסקה'!$D$72*'הנחות עסקה'!$I$70)/365*12),(-FV('מודל כלכלי'!$C$20,(7+(('הנחות עסקה'!$D$71-'הנחות עסקה'!$D$72)*'הנחות עסקה'!$I$70)/365),,'מודל כלכלי'!$C$53))))+((0.07*(ROUND('מודל כלכלי'!$C$59*(1+0.02)^7,-4)))+(0.13*(ROUND('מודל כלכלי'!$C$59*(1+0.02)^7,-4)))+(-PV(חישובים!$D$21,((('הנחות עסקה'!$D$72*'הנחות עסקה'!$I$70)-30)/365),,((0.7*(ROUND('מודל כלכלי'!$C$59*(1+0.02)^7,-4)))+(((('הנחות עסקה'!$D$72*'הנחות עסקה'!$I$70)-30)/365)*חישובים!$D$23*(0.7*(ROUND('מודל כלכלי'!$C$59*(1+0.02)^7,-4)))*0.5))))+(-PV(חישובים!$D$21,(('הנחות עסקה'!$D$72*'הנחות עסקה'!$I$70)/365),,((0.1*(ROUND('מודל כלכלי'!$C$59*(1+0.02)^7,-4)))+((('הנחות עסקה'!$D$72*'הנחות עסקה'!$I$70)/365)*חישובים!$D$23*(0.1*(ROUND('מודל כלכלי'!$C$59*(1+0.02)^7,-4)))*0.5)))))+(-(((0.07*(ROUND('מודל כלכלי'!$C$59*(1+0.02)^7,-4)))+(0.13*(ROUND('מודל כלכלי'!$C$59*(1+0.02)^7,-4)))+(-PV(חישובים!$D$21,((('הנחות עסקה'!$D$72*'הנחות עסקה'!$I$70)-30)/365),,((0.7*(ROUND('מודל כלכלי'!$C$59*(1+0.02)^7,-4)))+(((('הנחות עסקה'!$D$72*'הנחות עסקה'!$I$70)-30)/365)*חישובים!$D$23*(0.7*(ROUND('מודל כלכלי'!$C$59*(1+0.02)^7,-4)))*0.5))))+(-PV(חישובים!$D$21,(('הנחות עסקה'!$D$72*'הנחות עסקה'!$I$70)/365),,((0.1*(ROUND('מודל כלכלי'!$C$59*(1+0.02)^7,-4)))+((('הנחות עסקה'!$D$72*'הנחות עסקה'!$I$70)/365)*חישובים!$D$23*(0.1*(ROUND('מודל כלכלי'!$C$59*(1+0.02)^7,-4)))*0.5)))))+(-PV(חישובים!$D$21/12,(('הנחות עסקה'!$D$72*'הנחות עסקה'!$I$70)/365*12),(-FV('מודל כלכלי'!$C$20,(7+(('הנחות עסקה'!$D$71-'הנחות עסקה'!$D$72)*'הנחות עסקה'!$I$70)/365),,'מודל כלכלי'!$C$53)))))*היוון!$C$26)),ROUND('מודל כלכלי'!$C$59*(1+0.02)^7,-4)))+(ROUND(FV('מודל כלכלי'!$C$17/12,7*12,'מודל כלכלי'!$C$48,'מודל כלכלי'!$C$46),-4))+(ROUND(-'מודל כלכלי'!$C$66*(IF('מודל כלכלי'!$C$26="פליפ",((-PV(חישובים!$D$21/12,(('הנחות עסקה'!$D$72*'הנחות עסקה'!$I$70)/365*12),(-FV('מודל כלכלי'!$C$20,(7+(('הנחות עסקה'!$D$71-'הנחות עסקה'!$D$72)*'הנחות עסקה'!$I$70)/365),,'מודל כלכלי'!$C$53))))+((0.07*(ROUND('מודל כלכלי'!$C$59*(1+0.02)^7,-4)))+(0.13*(ROUND('מודל כלכלי'!$C$59*(1+0.02)^7,-4)))+(-PV(חישובים!$D$21,((('הנחות עסקה'!$D$72*'הנחות עסקה'!$I$70)-30)/365),,((0.7*(ROUND('מודל כלכלי'!$C$59*(1+0.02)^7,-4)))+(((('הנחות עסקה'!$D$72*'הנחות עסקה'!$I$70)-30)/365)*חישובים!$D$23*(0.7*(ROUND('מודל כלכלי'!$C$59*(1+0.02)^7,-4)))*0.5))))+(-PV(חישובים!$D$21,(('הנחות עסקה'!$D$72*'הנחות עסקה'!$I$70)/365),,((0.1*(ROUND('מודל כלכלי'!$C$59*(1+0.02)^7,-4)))+((('הנחות עסקה'!$D$72*'הנחות עסקה'!$I$70)/365)*חישובים!$D$23*(0.1*(ROUND('מודל כלכלי'!$C$59*(1+0.02)^7,-4)))*0.5)))))+(-(((0.07*(ROUND('מודל כלכלי'!$C$59*(1+0.02)^7,-4)))+(0.13*(ROUND('מודל כלכלי'!$C$59*(1+0.02)^7,-4)))+(-PV(חישובים!$D$21,((('הנחות עסקה'!$D$72*'הנחות עסקה'!$I$70)-30)/365),,((0.7*(ROUND('מודל כלכלי'!$C$59*(1+0.02)^7,-4)))+(((('הנחות עסקה'!$D$72*'הנחות עסקה'!$I$70)-30)/365)*חישובים!$D$23*(0.7*(ROUND('מודל כלכלי'!$C$59*(1+0.02)^7,-4)))*0.5))))+(-PV(חישובים!$D$21,(('הנחות עסקה'!$D$72*'הנחות עסקה'!$I$70)/365),,((0.1*(ROUND('מודל כלכלי'!$C$59*(1+0.02)^7,-4)))+((('הנחות עסקה'!$D$72*'הנחות עסקה'!$I$70)/365)*חישובים!$D$23*(0.1*(ROUND('מודל כלכלי'!$C$59*(1+0.02)^7,-4)))*0.5)))))+(-PV(חישובים!$D$21/12,(('הנחות עסקה'!$D$72*'הנחות עסקה'!$I$70)/365*12),(-FV('מודל כלכלי'!$C$20,(7+(('הנחות עסקה'!$D$71-'הנחות עסקה'!$D$72)*'הנחות עסקה'!$I$70)/365),,'מודל כלכלי'!$C$53)))))*היוון!$C$26)),ROUND('מודל כלכלי'!$C$59*(1+0.02)^7,-4)))*'מודל כלכלי'!$C$14-'מודל כלכלי'!$C$68*(IF('מודל כלכלי'!$C$26="פליפ",((-PV(חישובים!$D$21/12,(('הנחות עסקה'!$D$72*'הנחות עסקה'!$I$70)/365*12),(-FV('מודל כלכלי'!$C$20,(7+(('הנחות עסקה'!$D$71-'הנחות עסקה'!$D$72)*'הנחות עסקה'!$I$70)/365),,'מודל כלכלי'!$C$53))))+((0.07*(ROUND('מודל כלכלי'!$C$59*(1+0.02)^7,-4)))+(0.13*(ROUND('מודל כלכלי'!$C$59*(1+0.02)^7,-4)))+(-PV(חישובים!$D$21,((('הנחות עסקה'!$D$72*'הנחות עסקה'!$I$70)-30)/365),,((0.7*(ROUND('מודל כלכלי'!$C$59*(1+0.02)^7,-4)))+(((('הנחות עסקה'!$D$72*'הנחות עסקה'!$I$70)-30)/365)*חישובים!$D$23*(0.7*(ROUND('מודל כלכלי'!$C$59*(1+0.02)^7,-4)))*0.5))))+(-PV(חישובים!$D$21,(('הנחות עסקה'!$D$72*'הנחות עסקה'!$I$70)/365),,((0.1*(ROUND('מודל כלכלי'!$C$59*(1+0.02)^7,-4)))+((('הנחות עסקה'!$D$72*'הנחות עסקה'!$I$70)/365)*חישובים!$D$23*(0.1*(ROUND('מודל כלכלי'!$C$59*(1+0.02)^7,-4)))*0.5)))))+(-(((0.07*(ROUND('מודל כלכלי'!$C$59*(1+0.02)^7,-4)))+(0.13*(ROUND('מודל כלכלי'!$C$59*(1+0.02)^7,-4)))+(-PV(חישובים!$D$21,((('הנחות עסקה'!$D$72*'הנחות עסקה'!$I$70)-30)/365),,((0.7*(ROUND('מודל כלכלי'!$C$59*(1+0.02)^7,-4)))+(((('הנחות עסקה'!$D$72*'הנחות עסקה'!$I$70)-30)/365)*חישובים!$D$23*(0.7*(ROUND('מודל כלכלי'!$C$59*(1+0.02)^7,-4)))*0.5))))+(-PV(חישובים!$D$21,(('הנחות עסקה'!$D$72*'הנחות עסקה'!$I$70)/365),,((0.1*(ROUND('מודל כלכלי'!$C$59*(1+0.02)^7,-4)))+((('הנחות עסקה'!$D$72*'הנחות עסקה'!$I$70)/365)*חישובים!$D$23*(0.1*(ROUND('מודל כלכלי'!$C$59*(1+0.02)^7,-4)))*0.5)))))+(-PV(חישובים!$D$21/12,(('הנחות עסקה'!$D$72*'הנחות עסקה'!$I$70)/365*12),(-FV('מודל כלכלי'!$C$20,(7+(('הנחות עסקה'!$D$71-'הנחות עסקה'!$D$72)*'הנחות עסקה'!$I$70)/365),,'מודל כלכלי'!$C$53)))))*היוון!$C$26)),ROUND('מודל כלכלי'!$C$59*(1+0.02)^7,-4)))*'מודל כלכלי'!$C$14+'מודל כלכלי'!$C$70,-3))+(ROUND(-FV(חישובים!$D$22,7*12,'מודל כלכלי'!$C$55),-3))+(-'מודל כלכלי'!$C$45)+(-MAX(0,(IF('מודל כלכלי'!$C$26="פליפ",((-PV(חישובים!$D$21/12,(('הנחות עסקה'!$D$72*'הנחות עסקה'!$I$70)/365*12),(-FV('מודל כלכלי'!$C$20,(7+(('הנחות עסקה'!$D$71-'הנחות עסקה'!$D$72)*'הנחות עסקה'!$I$70)/365),,'מודל כלכלי'!$C$53))))+((0.07*(ROUND('מודל כלכלי'!$C$59*(1+0.02)^7,-4)))+(0.13*(ROUND('מודל כלכלי'!$C$59*(1+0.02)^7,-4)))+(-PV(חישובים!$D$21,((('הנחות עסקה'!$D$72*'הנחות עסקה'!$I$70)-30)/365),,((0.7*(ROUND('מודל כלכלי'!$C$59*(1+0.02)^7,-4)))+(((('הנחות עסקה'!$D$72*'הנחות עסקה'!$I$70)-30)/365)*חישובים!$D$23*(0.7*(ROUND('מודל כלכלי'!$C$59*(1+0.02)^7,-4)))*0.5))))+(-PV(חישובים!$D$21,(('הנחות עסקה'!$D$72*'הנחות עסקה'!$I$70)/365),,((0.1*(ROUND('מודל כלכלי'!$C$59*(1+0.02)^7,-4)))+((('הנחות עסקה'!$D$72*'הנחות עסקה'!$I$70)/365)*חישובים!$D$23*(0.1*(ROUND('מודל כלכלי'!$C$59*(1+0.02)^7,-4)))*0.5)))))+(-(((0.07*(ROUND('מודל כלכלי'!$C$59*(1+0.02)^7,-4)))+(0.13*(ROUND('מודל כלכלי'!$C$59*(1+0.02)^7,-4)))+(-PV(חישובים!$D$21,((('הנחות עסקה'!$D$72*'הנחות עסקה'!$I$70)-30)/365),,((0.7*(ROUND('מודל כלכלי'!$C$59*(1+0.02)^7,-4)))+(((('הנחות עסקה'!$D$72*'הנחות עסקה'!$I$70)-30)/365)*חישובים!$D$23*(0.7*(ROUND('מודל כלכלי'!$C$59*(1+0.02)^7,-4)))*0.5))))+(-PV(חישובים!$D$21,(('הנחות עסקה'!$D$72*'הנחות עסקה'!$I$70)/365),,((0.1*(ROUND('מודל כלכלי'!$C$59*(1+0.02)^7,-4)))+((('הנחות עסקה'!$D$72*'הנחות עסקה'!$I$70)/365)*חישובים!$D$23*(0.1*(ROUND('מודל כלכלי'!$C$59*(1+0.02)^7,-4)))*0.5)))))+(-PV(חישובים!$D$21/12,(('הנחות עסקה'!$D$72*'הנחות עסקה'!$I$70)/365*12),(-FV('מודל כלכלי'!$C$20,(7+(('הנחות עסקה'!$D$71-'הנחות עסקה'!$D$72)*'הנחות עסקה'!$I$70)/365),,'מודל כלכלי'!$C$53)))))*היוון!$C$26)),ROUND('מודל כלכלי'!$C$59*(1+0.02)^7,-4)))-(חישובים!$D$28*(1+חישובים!$D$29)^7))*0.25),-4)</f>
        <v>1270000</v>
      </c>
      <c r="E18" s="76">
        <f>ROUND((IF('מודל כלכלי'!$C$26="פליפ",((-PV(חישובים!$D$21/12,(('הנחות עסקה'!$D$72*'הנחות עסקה'!$I$70)/365*12),(-FV('מודל כלכלי'!$C$20,(8+(('הנחות עסקה'!$D$71-'הנחות עסקה'!$D$72)*'הנחות עסקה'!$I$70)/365),,'מודל כלכלי'!$C$53))))+((0.07*(ROUND('מודל כלכלי'!$C$59*(1+0.02)^8,-4)))+(0.13*(ROUND('מודל כלכלי'!$C$59*(1+0.02)^8,-4)))+(-PV(חישובים!$D$21,((('הנחות עסקה'!$D$72*'הנחות עסקה'!$I$70)-30)/365),,((0.7*(ROUND('מודל כלכלי'!$C$59*(1+0.02)^8,-4)))+(((('הנחות עסקה'!$D$72*'הנחות עסקה'!$I$70)-30)/365)*חישובים!$D$23*(0.7*(ROUND('מודל כלכלי'!$C$59*(1+0.02)^8,-4)))*0.5))))+(-PV(חישובים!$D$21,(('הנחות עסקה'!$D$72*'הנחות עסקה'!$I$70)/365),,((0.1*(ROUND('מודל כלכלי'!$C$59*(1+0.02)^8,-4)))+((('הנחות עסקה'!$D$72*'הנחות עסקה'!$I$70)/365)*חישובים!$D$23*(0.1*(ROUND('מודל כלכלי'!$C$59*(1+0.02)^8,-4)))*0.5)))))+(-(((0.07*(ROUND('מודל כלכלי'!$C$59*(1+0.02)^8,-4)))+(0.13*(ROUND('מודל כלכלי'!$C$59*(1+0.02)^8,-4)))+(-PV(חישובים!$D$21,((('הנחות עסקה'!$D$72*'הנחות עסקה'!$I$70)-30)/365),,((0.7*(ROUND('מודל כלכלי'!$C$59*(1+0.02)^8,-4)))+(((('הנחות עסקה'!$D$72*'הנחות עסקה'!$I$70)-30)/365)*חישובים!$D$23*(0.7*(ROUND('מודל כלכלי'!$C$59*(1+0.02)^8,-4)))*0.5))))+(-PV(חישובים!$D$21,(('הנחות עסקה'!$D$72*'הנחות עסקה'!$I$70)/365),,((0.1*(ROUND('מודל כלכלי'!$C$59*(1+0.02)^8,-4)))+((('הנחות עסקה'!$D$72*'הנחות עסקה'!$I$70)/365)*חישובים!$D$23*(0.1*(ROUND('מודל כלכלי'!$C$59*(1+0.02)^8,-4)))*0.5)))))+(-PV(חישובים!$D$21/12,(('הנחות עסקה'!$D$72*'הנחות עסקה'!$I$70)/365*12),(-FV('מודל כלכלי'!$C$20,(8+(('הנחות עסקה'!$D$71-'הנחות עסקה'!$D$72)*'הנחות עסקה'!$I$70)/365),,'מודל כלכלי'!$C$53)))))*היוון!$C$26)),ROUND('מודל כלכלי'!$C$59*(1+0.02)^8,-4)))+(ROUND(FV('מודל כלכלי'!$C$17/12,8*12,'מודל כלכלי'!$C$48,'מודל כלכלי'!$C$46),-4))+(ROUND(-'מודל כלכלי'!$C$66*(IF('מודל כלכלי'!$C$26="פליפ",((-PV(חישובים!$D$21/12,(('הנחות עסקה'!$D$72*'הנחות עסקה'!$I$70)/365*12),(-FV('מודל כלכלי'!$C$20,(8+(('הנחות עסקה'!$D$71-'הנחות עסקה'!$D$72)*'הנחות עסקה'!$I$70)/365),,'מודל כלכלי'!$C$53))))+((0.07*(ROUND('מודל כלכלי'!$C$59*(1+0.02)^8,-4)))+(0.13*(ROUND('מודל כלכלי'!$C$59*(1+0.02)^8,-4)))+(-PV(חישובים!$D$21,((('הנחות עסקה'!$D$72*'הנחות עסקה'!$I$70)-30)/365),,((0.7*(ROUND('מודל כלכלי'!$C$59*(1+0.02)^8,-4)))+(((('הנחות עסקה'!$D$72*'הנחות עסקה'!$I$70)-30)/365)*חישובים!$D$23*(0.7*(ROUND('מודל כלכלי'!$C$59*(1+0.02)^8,-4)))*0.5))))+(-PV(חישובים!$D$21,(('הנחות עסקה'!$D$72*'הנחות עסקה'!$I$70)/365),,((0.1*(ROUND('מודל כלכלי'!$C$59*(1+0.02)^8,-4)))+((('הנחות עסקה'!$D$72*'הנחות עסקה'!$I$70)/365)*חישובים!$D$23*(0.1*(ROUND('מודל כלכלי'!$C$59*(1+0.02)^8,-4)))*0.5)))))+(-(((0.07*(ROUND('מודל כלכלי'!$C$59*(1+0.02)^8,-4)))+(0.13*(ROUND('מודל כלכלי'!$C$59*(1+0.02)^8,-4)))+(-PV(חישובים!$D$21,((('הנחות עסקה'!$D$72*'הנחות עסקה'!$I$70)-30)/365),,((0.7*(ROUND('מודל כלכלי'!$C$59*(1+0.02)^8,-4)))+(((('הנחות עסקה'!$D$72*'הנחות עסקה'!$I$70)-30)/365)*חישובים!$D$23*(0.7*(ROUND('מודל כלכלי'!$C$59*(1+0.02)^8,-4)))*0.5))))+(-PV(חישובים!$D$21,(('הנחות עסקה'!$D$72*'הנחות עסקה'!$I$70)/365),,((0.1*(ROUND('מודל כלכלי'!$C$59*(1+0.02)^8,-4)))+((('הנחות עסקה'!$D$72*'הנחות עסקה'!$I$70)/365)*חישובים!$D$23*(0.1*(ROUND('מודל כלכלי'!$C$59*(1+0.02)^8,-4)))*0.5)))))+(-PV(חישובים!$D$21/12,(('הנחות עסקה'!$D$72*'הנחות עסקה'!$I$70)/365*12),(-FV('מודל כלכלי'!$C$20,(8+(('הנחות עסקה'!$D$71-'הנחות עסקה'!$D$72)*'הנחות עסקה'!$I$70)/365),,'מודל כלכלי'!$C$53)))))*היוון!$C$26)),ROUND('מודל כלכלי'!$C$59*(1+0.02)^8,-4)))*'מודל כלכלי'!$C$14-'מודל כלכלי'!$C$68*(IF('מודל כלכלי'!$C$26="פליפ",((-PV(חישובים!$D$21/12,(('הנחות עסקה'!$D$72*'הנחות עסקה'!$I$70)/365*12),(-FV('מודל כלכלי'!$C$20,(8+(('הנחות עסקה'!$D$71-'הנחות עסקה'!$D$72)*'הנחות עסקה'!$I$70)/365),,'מודל כלכלי'!$C$53))))+((0.07*(ROUND('מודל כלכלי'!$C$59*(1+0.02)^8,-4)))+(0.13*(ROUND('מודל כלכלי'!$C$59*(1+0.02)^8,-4)))+(-PV(חישובים!$D$21,((('הנחות עסקה'!$D$72*'הנחות עסקה'!$I$70)-30)/365),,((0.7*(ROUND('מודל כלכלי'!$C$59*(1+0.02)^8,-4)))+(((('הנחות עסקה'!$D$72*'הנחות עסקה'!$I$70)-30)/365)*חישובים!$D$23*(0.7*(ROUND('מודל כלכלי'!$C$59*(1+0.02)^8,-4)))*0.5))))+(-PV(חישובים!$D$21,(('הנחות עסקה'!$D$72*'הנחות עסקה'!$I$70)/365),,((0.1*(ROUND('מודל כלכלי'!$C$59*(1+0.02)^8,-4)))+((('הנחות עסקה'!$D$72*'הנחות עסקה'!$I$70)/365)*חישובים!$D$23*(0.1*(ROUND('מודל כלכלי'!$C$59*(1+0.02)^8,-4)))*0.5)))))+(-(((0.07*(ROUND('מודל כלכלי'!$C$59*(1+0.02)^8,-4)))+(0.13*(ROUND('מודל כלכלי'!$C$59*(1+0.02)^8,-4)))+(-PV(חישובים!$D$21,((('הנחות עסקה'!$D$72*'הנחות עסקה'!$I$70)-30)/365),,((0.7*(ROUND('מודל כלכלי'!$C$59*(1+0.02)^8,-4)))+(((('הנחות עסקה'!$D$72*'הנחות עסקה'!$I$70)-30)/365)*חישובים!$D$23*(0.7*(ROUND('מודל כלכלי'!$C$59*(1+0.02)^8,-4)))*0.5))))+(-PV(חישובים!$D$21,(('הנחות עסקה'!$D$72*'הנחות עסקה'!$I$70)/365),,((0.1*(ROUND('מודל כלכלי'!$C$59*(1+0.02)^8,-4)))+((('הנחות עסקה'!$D$72*'הנחות עסקה'!$I$70)/365)*חישובים!$D$23*(0.1*(ROUND('מודל כלכלי'!$C$59*(1+0.02)^8,-4)))*0.5)))))+(-PV(חישובים!$D$21/12,(('הנחות עסקה'!$D$72*'הנחות עסקה'!$I$70)/365*12),(-FV('מודל כלכלי'!$C$20,(8+(('הנחות עסקה'!$D$71-'הנחות עסקה'!$D$72)*'הנחות עסקה'!$I$70)/365),,'מודל כלכלי'!$C$53)))))*היוון!$C$26)),ROUND('מודל כלכלי'!$C$59*(1+0.02)^8,-4)))*'מודל כלכלי'!$C$14+'מודל כלכלי'!$C$70,-3))+(ROUND(-FV(חישובים!$D$22,8*12,'מודל כלכלי'!$C$55),-3))+(-'מודל כלכלי'!$C$45)+(-MAX(0,(IF('מודל כלכלי'!$C$26="פליפ",((-PV(חישובים!$D$21/12,(('הנחות עסקה'!$D$72*'הנחות עסקה'!$I$70)/365*12),(-FV('מודל כלכלי'!$C$20,(8+(('הנחות עסקה'!$D$71-'הנחות עסקה'!$D$72)*'הנחות עסקה'!$I$70)/365),,'מודל כלכלי'!$C$53))))+((0.07*(ROUND('מודל כלכלי'!$C$59*(1+0.02)^8,-4)))+(0.13*(ROUND('מודל כלכלי'!$C$59*(1+0.02)^8,-4)))+(-PV(חישובים!$D$21,((('הנחות עסקה'!$D$72*'הנחות עסקה'!$I$70)-30)/365),,((0.7*(ROUND('מודל כלכלי'!$C$59*(1+0.02)^8,-4)))+(((('הנחות עסקה'!$D$72*'הנחות עסקה'!$I$70)-30)/365)*חישובים!$D$23*(0.7*(ROUND('מודל כלכלי'!$C$59*(1+0.02)^8,-4)))*0.5))))+(-PV(חישובים!$D$21,(('הנחות עסקה'!$D$72*'הנחות עסקה'!$I$70)/365),,((0.1*(ROUND('מודל כלכלי'!$C$59*(1+0.02)^8,-4)))+((('הנחות עסקה'!$D$72*'הנחות עסקה'!$I$70)/365)*חישובים!$D$23*(0.1*(ROUND('מודל כלכלי'!$C$59*(1+0.02)^8,-4)))*0.5)))))+(-(((0.07*(ROUND('מודל כלכלי'!$C$59*(1+0.02)^8,-4)))+(0.13*(ROUND('מודל כלכלי'!$C$59*(1+0.02)^8,-4)))+(-PV(חישובים!$D$21,((('הנחות עסקה'!$D$72*'הנחות עסקה'!$I$70)-30)/365),,((0.7*(ROUND('מודל כלכלי'!$C$59*(1+0.02)^8,-4)))+(((('הנחות עסקה'!$D$72*'הנחות עסקה'!$I$70)-30)/365)*חישובים!$D$23*(0.7*(ROUND('מודל כלכלי'!$C$59*(1+0.02)^8,-4)))*0.5))))+(-PV(חישובים!$D$21,(('הנחות עסקה'!$D$72*'הנחות עסקה'!$I$70)/365),,((0.1*(ROUND('מודל כלכלי'!$C$59*(1+0.02)^8,-4)))+((('הנחות עסקה'!$D$72*'הנחות עסקה'!$I$70)/365)*חישובים!$D$23*(0.1*(ROUND('מודל כלכלי'!$C$59*(1+0.02)^8,-4)))*0.5)))))+(-PV(חישובים!$D$21/12,(('הנחות עסקה'!$D$72*'הנחות עסקה'!$I$70)/365*12),(-FV('מודל כלכלי'!$C$20,(8+(('הנחות עסקה'!$D$71-'הנחות עסקה'!$D$72)*'הנחות עסקה'!$I$70)/365),,'מודל כלכלי'!$C$53)))))*היוון!$C$26)),ROUND('מודל כלכלי'!$C$59*(1+0.02)^8,-4)))-(חישובים!$D$28*(1+חישובים!$D$29)^8))*0.25),-4)</f>
        <v>1310000</v>
      </c>
      <c r="F18" s="24">
        <f>ROUND((IF('מודל כלכלי'!$C$26="פליפ",((-PV(חישובים!$D$21/12,(('הנחות עסקה'!$D$72*'הנחות עסקה'!$I$70)/365*12),(-FV('מודל כלכלי'!$C$20,(9+(('הנחות עסקה'!$D$71-'הנחות עסקה'!$D$72)*'הנחות עסקה'!$I$70)/365),,'מודל כלכלי'!$C$53))))+((0.07*(ROUND('מודל כלכלי'!$C$59*(1+0.02)^9,-4)))+(0.13*(ROUND('מודל כלכלי'!$C$59*(1+0.02)^9,-4)))+(-PV(חישובים!$D$21,((('הנחות עסקה'!$D$72*'הנחות עסקה'!$I$70)-30)/365),,((0.7*(ROUND('מודל כלכלי'!$C$59*(1+0.02)^9,-4)))+(((('הנחות עסקה'!$D$72*'הנחות עסקה'!$I$70)-30)/365)*חישובים!$D$23*(0.7*(ROUND('מודל כלכלי'!$C$59*(1+0.02)^9,-4)))*0.5))))+(-PV(חישובים!$D$21,(('הנחות עסקה'!$D$72*'הנחות עסקה'!$I$70)/365),,((0.1*(ROUND('מודל כלכלי'!$C$59*(1+0.02)^9,-4)))+((('הנחות עסקה'!$D$72*'הנחות עסקה'!$I$70)/365)*חישובים!$D$23*(0.1*(ROUND('מודל כלכלי'!$C$59*(1+0.02)^9,-4)))*0.5)))))+(-(((0.07*(ROUND('מודל כלכלי'!$C$59*(1+0.02)^9,-4)))+(0.13*(ROUND('מודל כלכלי'!$C$59*(1+0.02)^9,-4)))+(-PV(חישובים!$D$21,((('הנחות עסקה'!$D$72*'הנחות עסקה'!$I$70)-30)/365),,((0.7*(ROUND('מודל כלכלי'!$C$59*(1+0.02)^9,-4)))+(((('הנחות עסקה'!$D$72*'הנחות עסקה'!$I$70)-30)/365)*חישובים!$D$23*(0.7*(ROUND('מודל כלכלי'!$C$59*(1+0.02)^9,-4)))*0.5))))+(-PV(חישובים!$D$21,(('הנחות עסקה'!$D$72*'הנחות עסקה'!$I$70)/365),,((0.1*(ROUND('מודל כלכלי'!$C$59*(1+0.02)^9,-4)))+((('הנחות עסקה'!$D$72*'הנחות עסקה'!$I$70)/365)*חישובים!$D$23*(0.1*(ROUND('מודל כלכלי'!$C$59*(1+0.02)^9,-4)))*0.5)))))+(-PV(חישובים!$D$21/12,(('הנחות עסקה'!$D$72*'הנחות עסקה'!$I$70)/365*12),(-FV('מודל כלכלי'!$C$20,(9+(('הנחות עסקה'!$D$71-'הנחות עסקה'!$D$72)*'הנחות עסקה'!$I$70)/365),,'מודל כלכלי'!$C$53)))))*היוון!$C$26)),ROUND('מודל כלכלי'!$C$59*(1+0.02)^9,-4)))+(ROUND(FV('מודל כלכלי'!$C$17/12,9*12,'מודל כלכלי'!$C$48,'מודל כלכלי'!$C$46),-4))+(ROUND(-'מודל כלכלי'!$C$66*(IF('מודל כלכלי'!$C$26="פליפ",((-PV(חישובים!$D$21/12,(('הנחות עסקה'!$D$72*'הנחות עסקה'!$I$70)/365*12),(-FV('מודל כלכלי'!$C$20,(9+(('הנחות עסקה'!$D$71-'הנחות עסקה'!$D$72)*'הנחות עסקה'!$I$70)/365),,'מודל כלכלי'!$C$53))))+((0.07*(ROUND('מודל כלכלי'!$C$59*(1+0.02)^9,-4)))+(0.13*(ROUND('מודל כלכלי'!$C$59*(1+0.02)^9,-4)))+(-PV(חישובים!$D$21,((('הנחות עסקה'!$D$72*'הנחות עסקה'!$I$70)-30)/365),,((0.7*(ROUND('מודל כלכלי'!$C$59*(1+0.02)^9,-4)))+(((('הנחות עסקה'!$D$72*'הנחות עסקה'!$I$70)-30)/365)*חישובים!$D$23*(0.7*(ROUND('מודל כלכלי'!$C$59*(1+0.02)^9,-4)))*0.5))))+(-PV(חישובים!$D$21,(('הנחות עסקה'!$D$72*'הנחות עסקה'!$I$70)/365),,((0.1*(ROUND('מודל כלכלי'!$C$59*(1+0.02)^9,-4)))+((('הנחות עסקה'!$D$72*'הנחות עסקה'!$I$70)/365)*חישובים!$D$23*(0.1*(ROUND('מודל כלכלי'!$C$59*(1+0.02)^9,-4)))*0.5)))))+(-(((0.07*(ROUND('מודל כלכלי'!$C$59*(1+0.02)^9,-4)))+(0.13*(ROUND('מודל כלכלי'!$C$59*(1+0.02)^9,-4)))+(-PV(חישובים!$D$21,((('הנחות עסקה'!$D$72*'הנחות עסקה'!$I$70)-30)/365),,((0.7*(ROUND('מודל כלכלי'!$C$59*(1+0.02)^9,-4)))+(((('הנחות עסקה'!$D$72*'הנחות עסקה'!$I$70)-30)/365)*חישובים!$D$23*(0.7*(ROUND('מודל כלכלי'!$C$59*(1+0.02)^9,-4)))*0.5))))+(-PV(חישובים!$D$21,(('הנחות עסקה'!$D$72*'הנחות עסקה'!$I$70)/365),,((0.1*(ROUND('מודל כלכלי'!$C$59*(1+0.02)^9,-4)))+((('הנחות עסקה'!$D$72*'הנחות עסקה'!$I$70)/365)*חישובים!$D$23*(0.1*(ROUND('מודל כלכלי'!$C$59*(1+0.02)^9,-4)))*0.5)))))+(-PV(חישובים!$D$21/12,(('הנחות עסקה'!$D$72*'הנחות עסקה'!$I$70)/365*12),(-FV('מודל כלכלי'!$C$20,(9+(('הנחות עסקה'!$D$71-'הנחות עסקה'!$D$72)*'הנחות עסקה'!$I$70)/365),,'מודל כלכלי'!$C$53)))))*היוון!$C$26)),ROUND('מודל כלכלי'!$C$59*(1+0.02)^9,-4)))*'מודל כלכלי'!$C$14-'מודל כלכלי'!$C$68*(IF('מודל כלכלי'!$C$26="פליפ",((-PV(חישובים!$D$21/12,(('הנחות עסקה'!$D$72*'הנחות עסקה'!$I$70)/365*12),(-FV('מודל כלכלי'!$C$20,(9+(('הנחות עסקה'!$D$71-'הנחות עסקה'!$D$72)*'הנחות עסקה'!$I$70)/365),,'מודל כלכלי'!$C$53))))+((0.07*(ROUND('מודל כלכלי'!$C$59*(1+0.02)^9,-4)))+(0.13*(ROUND('מודל כלכלי'!$C$59*(1+0.02)^9,-4)))+(-PV(חישובים!$D$21,((('הנחות עסקה'!$D$72*'הנחות עסקה'!$I$70)-30)/365),,((0.7*(ROUND('מודל כלכלי'!$C$59*(1+0.02)^9,-4)))+(((('הנחות עסקה'!$D$72*'הנחות עסקה'!$I$70)-30)/365)*חישובים!$D$23*(0.7*(ROUND('מודל כלכלי'!$C$59*(1+0.02)^9,-4)))*0.5))))+(-PV(חישובים!$D$21,(('הנחות עסקה'!$D$72*'הנחות עסקה'!$I$70)/365),,((0.1*(ROUND('מודל כלכלי'!$C$59*(1+0.02)^9,-4)))+((('הנחות עסקה'!$D$72*'הנחות עסקה'!$I$70)/365)*חישובים!$D$23*(0.1*(ROUND('מודל כלכלי'!$C$59*(1+0.02)^9,-4)))*0.5)))))+(-(((0.07*(ROUND('מודל כלכלי'!$C$59*(1+0.02)^9,-4)))+(0.13*(ROUND('מודל כלכלי'!$C$59*(1+0.02)^9,-4)))+(-PV(חישובים!$D$21,((('הנחות עסקה'!$D$72*'הנחות עסקה'!$I$70)-30)/365),,((0.7*(ROUND('מודל כלכלי'!$C$59*(1+0.02)^9,-4)))+(((('הנחות עסקה'!$D$72*'הנחות עסקה'!$I$70)-30)/365)*חישובים!$D$23*(0.7*(ROUND('מודל כלכלי'!$C$59*(1+0.02)^9,-4)))*0.5))))+(-PV(חישובים!$D$21,(('הנחות עסקה'!$D$72*'הנחות עסקה'!$I$70)/365),,((0.1*(ROUND('מודל כלכלי'!$C$59*(1+0.02)^9,-4)))+((('הנחות עסקה'!$D$72*'הנחות עסקה'!$I$70)/365)*חישובים!$D$23*(0.1*(ROUND('מודל כלכלי'!$C$59*(1+0.02)^9,-4)))*0.5)))))+(-PV(חישובים!$D$21/12,(('הנחות עסקה'!$D$72*'הנחות עסקה'!$I$70)/365*12),(-FV('מודל כלכלי'!$C$20,(9+(('הנחות עסקה'!$D$71-'הנחות עסקה'!$D$72)*'הנחות עסקה'!$I$70)/365),,'מודל כלכלי'!$C$53)))))*היוון!$C$26)),ROUND('מודל כלכלי'!$C$59*(1+0.02)^9,-4)))*'מודל כלכלי'!$C$14+'מודל כלכלי'!$C$70,-3))+(ROUND(-FV(חישובים!$D$22,9*12,'מודל כלכלי'!$C$55),-3))+(-'מודל כלכלי'!$C$45)+(-MAX(0,(IF('מודל כלכלי'!$C$26="פליפ",((-PV(חישובים!$D$21/12,(('הנחות עסקה'!$D$72*'הנחות עסקה'!$I$70)/365*12),(-FV('מודל כלכלי'!$C$20,(9+(('הנחות עסקה'!$D$71-'הנחות עסקה'!$D$72)*'הנחות עסקה'!$I$70)/365),,'מודל כלכלי'!$C$53))))+((0.07*(ROUND('מודל כלכלי'!$C$59*(1+0.02)^9,-4)))+(0.13*(ROUND('מודל כלכלי'!$C$59*(1+0.02)^9,-4)))+(-PV(חישובים!$D$21,((('הנחות עסקה'!$D$72*'הנחות עסקה'!$I$70)-30)/365),,((0.7*(ROUND('מודל כלכלי'!$C$59*(1+0.02)^9,-4)))+(((('הנחות עסקה'!$D$72*'הנחות עסקה'!$I$70)-30)/365)*חישובים!$D$23*(0.7*(ROUND('מודל כלכלי'!$C$59*(1+0.02)^9,-4)))*0.5))))+(-PV(חישובים!$D$21,(('הנחות עסקה'!$D$72*'הנחות עסקה'!$I$70)/365),,((0.1*(ROUND('מודל כלכלי'!$C$59*(1+0.02)^9,-4)))+((('הנחות עסקה'!$D$72*'הנחות עסקה'!$I$70)/365)*חישובים!$D$23*(0.1*(ROUND('מודל כלכלי'!$C$59*(1+0.02)^9,-4)))*0.5)))))+(-(((0.07*(ROUND('מודל כלכלי'!$C$59*(1+0.02)^9,-4)))+(0.13*(ROUND('מודל כלכלי'!$C$59*(1+0.02)^9,-4)))+(-PV(חישובים!$D$21,((('הנחות עסקה'!$D$72*'הנחות עסקה'!$I$70)-30)/365),,((0.7*(ROUND('מודל כלכלי'!$C$59*(1+0.02)^9,-4)))+(((('הנחות עסקה'!$D$72*'הנחות עסקה'!$I$70)-30)/365)*חישובים!$D$23*(0.7*(ROUND('מודל כלכלי'!$C$59*(1+0.02)^9,-4)))*0.5))))+(-PV(חישובים!$D$21,(('הנחות עסקה'!$D$72*'הנחות עסקה'!$I$70)/365),,((0.1*(ROUND('מודל כלכלי'!$C$59*(1+0.02)^9,-4)))+((('הנחות עסקה'!$D$72*'הנחות עסקה'!$I$70)/365)*חישובים!$D$23*(0.1*(ROUND('מודל כלכלי'!$C$59*(1+0.02)^9,-4)))*0.5)))))+(-PV(חישובים!$D$21/12,(('הנחות עסקה'!$D$72*'הנחות עסקה'!$I$70)/365*12),(-FV('מודל כלכלי'!$C$20,(9+(('הנחות עסקה'!$D$71-'הנחות עסקה'!$D$72)*'הנחות עסקה'!$I$70)/365),,'מודל כלכלי'!$C$53)))))*היוון!$C$26)),ROUND('מודל כלכלי'!$C$59*(1+0.02)^9,-4)))-(חישובים!$D$28*(1+חישובים!$D$29)^9))*0.25),-4)</f>
        <v>1370000</v>
      </c>
      <c r="G18" s="24">
        <f>ROUND((IF('מודל כלכלי'!$C$26="פליפ",((-PV(חישובים!$D$21/12,(('הנחות עסקה'!$D$72*'הנחות עסקה'!$I$70)/365*12),(-FV('מודל כלכלי'!$C$20,(10+(('הנחות עסקה'!$D$71-'הנחות עסקה'!$D$72)*'הנחות עסקה'!$I$70)/365),,'מודל כלכלי'!$C$53))))+((0.07*(ROUND('מודל כלכלי'!$C$59*(1+0.02)^10,-4)))+(0.13*(ROUND('מודל כלכלי'!$C$59*(1+0.02)^10,-4)))+(-PV(חישובים!$D$21,((('הנחות עסקה'!$D$72*'הנחות עסקה'!$I$70)-30)/365),,((0.7*(ROUND('מודל כלכלי'!$C$59*(1+0.02)^10,-4)))+(((('הנחות עסקה'!$D$72*'הנחות עסקה'!$I$70)-30)/365)*חישובים!$D$23*(0.7*(ROUND('מודל כלכלי'!$C$59*(1+0.02)^10,-4)))*0.5))))+(-PV(חישובים!$D$21,(('הנחות עסקה'!$D$72*'הנחות עסקה'!$I$70)/365),,((0.1*(ROUND('מודל כלכלי'!$C$59*(1+0.02)^10,-4)))+((('הנחות עסקה'!$D$72*'הנחות עסקה'!$I$70)/365)*חישובים!$D$23*(0.1*(ROUND('מודל כלכלי'!$C$59*(1+0.02)^10,-4)))*0.5)))))+(-(((0.07*(ROUND('מודל כלכלי'!$C$59*(1+0.02)^10,-4)))+(0.13*(ROUND('מודל כלכלי'!$C$59*(1+0.02)^10,-4)))+(-PV(חישובים!$D$21,((('הנחות עסקה'!$D$72*'הנחות עסקה'!$I$70)-30)/365),,((0.7*(ROUND('מודל כלכלי'!$C$59*(1+0.02)^10,-4)))+(((('הנחות עסקה'!$D$72*'הנחות עסקה'!$I$70)-30)/365)*חישובים!$D$23*(0.7*(ROUND('מודל כלכלי'!$C$59*(1+0.02)^10,-4)))*0.5))))+(-PV(חישובים!$D$21,(('הנחות עסקה'!$D$72*'הנחות עסקה'!$I$70)/365),,((0.1*(ROUND('מודל כלכלי'!$C$59*(1+0.02)^10,-4)))+((('הנחות עסקה'!$D$72*'הנחות עסקה'!$I$70)/365)*חישובים!$D$23*(0.1*(ROUND('מודל כלכלי'!$C$59*(1+0.02)^10,-4)))*0.5)))))+(-PV(חישובים!$D$21/12,(('הנחות עסקה'!$D$72*'הנחות עסקה'!$I$70)/365*12),(-FV('מודל כלכלי'!$C$20,(10+(('הנחות עסקה'!$D$71-'הנחות עסקה'!$D$72)*'הנחות עסקה'!$I$70)/365),,'מודל כלכלי'!$C$53)))))*היוון!$C$26)),ROUND('מודל כלכלי'!$C$59*(1+0.02)^10,-4)))+(ROUND(FV('מודל כלכלי'!$C$17/12,10*12,'מודל כלכלי'!$C$48,'מודל כלכלי'!$C$46),-4))+(ROUND(-'מודל כלכלי'!$C$66*(IF('מודל כלכלי'!$C$26="פליפ",((-PV(חישובים!$D$21/12,(('הנחות עסקה'!$D$72*'הנחות עסקה'!$I$70)/365*12),(-FV('מודל כלכלי'!$C$20,(10+(('הנחות עסקה'!$D$71-'הנחות עסקה'!$D$72)*'הנחות עסקה'!$I$70)/365),,'מודל כלכלי'!$C$53))))+((0.07*(ROUND('מודל כלכלי'!$C$59*(1+0.02)^10,-4)))+(0.13*(ROUND('מודל כלכלי'!$C$59*(1+0.02)^10,-4)))+(-PV(חישובים!$D$21,((('הנחות עסקה'!$D$72*'הנחות עסקה'!$I$70)-30)/365),,((0.7*(ROUND('מודל כלכלי'!$C$59*(1+0.02)^10,-4)))+(((('הנחות עסקה'!$D$72*'הנחות עסקה'!$I$70)-30)/365)*חישובים!$D$23*(0.7*(ROUND('מודל כלכלי'!$C$59*(1+0.02)^10,-4)))*0.5))))+(-PV(חישובים!$D$21,(('הנחות עסקה'!$D$72*'הנחות עסקה'!$I$70)/365),,((0.1*(ROUND('מודל כלכלי'!$C$59*(1+0.02)^10,-4)))+((('הנחות עסקה'!$D$72*'הנחות עסקה'!$I$70)/365)*חישובים!$D$23*(0.1*(ROUND('מודל כלכלי'!$C$59*(1+0.02)^10,-4)))*0.5)))))+(-(((0.07*(ROUND('מודל כלכלי'!$C$59*(1+0.02)^10,-4)))+(0.13*(ROUND('מודל כלכלי'!$C$59*(1+0.02)^10,-4)))+(-PV(חישובים!$D$21,((('הנחות עסקה'!$D$72*'הנחות עסקה'!$I$70)-30)/365),,((0.7*(ROUND('מודל כלכלי'!$C$59*(1+0.02)^10,-4)))+(((('הנחות עסקה'!$D$72*'הנחות עסקה'!$I$70)-30)/365)*חישובים!$D$23*(0.7*(ROUND('מודל כלכלי'!$C$59*(1+0.02)^10,-4)))*0.5))))+(-PV(חישובים!$D$21,(('הנחות עסקה'!$D$72*'הנחות עסקה'!$I$70)/365),,((0.1*(ROUND('מודל כלכלי'!$C$59*(1+0.02)^10,-4)))+((('הנחות עסקה'!$D$72*'הנחות עסקה'!$I$70)/365)*חישובים!$D$23*(0.1*(ROUND('מודל כלכלי'!$C$59*(1+0.02)^10,-4)))*0.5)))))+(-PV(חישובים!$D$21/12,(('הנחות עסקה'!$D$72*'הנחות עסקה'!$I$70)/365*12),(-FV('מודל כלכלי'!$C$20,(10+(('הנחות עסקה'!$D$71-'הנחות עסקה'!$D$72)*'הנחות עסקה'!$I$70)/365),,'מודל כלכלי'!$C$53)))))*היוון!$C$26)),ROUND('מודל כלכלי'!$C$59*(1+0.02)^10,-4)))*'מודל כלכלי'!$C$14-'מודל כלכלי'!$C$68*(IF('מודל כלכלי'!$C$26="פליפ",((-PV(חישובים!$D$21/12,(('הנחות עסקה'!$D$72*'הנחות עסקה'!$I$70)/365*12),(-FV('מודל כלכלי'!$C$20,(10+(('הנחות עסקה'!$D$71-'הנחות עסקה'!$D$72)*'הנחות עסקה'!$I$70)/365),,'מודל כלכלי'!$C$53))))+((0.07*(ROUND('מודל כלכלי'!$C$59*(1+0.02)^10,-4)))+(0.13*(ROUND('מודל כלכלי'!$C$59*(1+0.02)^10,-4)))+(-PV(חישובים!$D$21,((('הנחות עסקה'!$D$72*'הנחות עסקה'!$I$70)-30)/365),,((0.7*(ROUND('מודל כלכלי'!$C$59*(1+0.02)^10,-4)))+(((('הנחות עסקה'!$D$72*'הנחות עסקה'!$I$70)-30)/365)*חישובים!$D$23*(0.7*(ROUND('מודל כלכלי'!$C$59*(1+0.02)^10,-4)))*0.5))))+(-PV(חישובים!$D$21,(('הנחות עסקה'!$D$72*'הנחות עסקה'!$I$70)/365),,((0.1*(ROUND('מודל כלכלי'!$C$59*(1+0.02)^10,-4)))+((('הנחות עסקה'!$D$72*'הנחות עסקה'!$I$70)/365)*חישובים!$D$23*(0.1*(ROUND('מודל כלכלי'!$C$59*(1+0.02)^10,-4)))*0.5)))))+(-(((0.07*(ROUND('מודל כלכלי'!$C$59*(1+0.02)^10,-4)))+(0.13*(ROUND('מודל כלכלי'!$C$59*(1+0.02)^10,-4)))+(-PV(חישובים!$D$21,((('הנחות עסקה'!$D$72*'הנחות עסקה'!$I$70)-30)/365),,((0.7*(ROUND('מודל כלכלי'!$C$59*(1+0.02)^10,-4)))+(((('הנחות עסקה'!$D$72*'הנחות עסקה'!$I$70)-30)/365)*חישובים!$D$23*(0.7*(ROUND('מודל כלכלי'!$C$59*(1+0.02)^10,-4)))*0.5))))+(-PV(חישובים!$D$21,(('הנחות עסקה'!$D$72*'הנחות עסקה'!$I$70)/365),,((0.1*(ROUND('מודל כלכלי'!$C$59*(1+0.02)^10,-4)))+((('הנחות עסקה'!$D$72*'הנחות עסקה'!$I$70)/365)*חישובים!$D$23*(0.1*(ROUND('מודל כלכלי'!$C$59*(1+0.02)^10,-4)))*0.5)))))+(-PV(חישובים!$D$21/12,(('הנחות עסקה'!$D$72*'הנחות עסקה'!$I$70)/365*12),(-FV('מודל כלכלי'!$C$20,(10+(('הנחות עסקה'!$D$71-'הנחות עסקה'!$D$72)*'הנחות עסקה'!$I$70)/365),,'מודל כלכלי'!$C$53)))))*היוון!$C$26)),ROUND('מודל כלכלי'!$C$59*(1+0.02)^10,-4)))*'מודל כלכלי'!$C$14+'מודל כלכלי'!$C$70,-3))+(ROUND(-FV(חישובים!$D$22,10*12,'מודל כלכלי'!$C$55),-3))+(-'מודל כלכלי'!$C$45)+(-MAX(0,(IF('מודל כלכלי'!$C$26="פליפ",((-PV(חישובים!$D$21/12,(('הנחות עסקה'!$D$72*'הנחות עסקה'!$I$70)/365*12),(-FV('מודל כלכלי'!$C$20,(10+(('הנחות עסקה'!$D$71-'הנחות עסקה'!$D$72)*'הנחות עסקה'!$I$70)/365),,'מודל כלכלי'!$C$53))))+((0.07*(ROUND('מודל כלכלי'!$C$59*(1+0.02)^10,-4)))+(0.13*(ROUND('מודל כלכלי'!$C$59*(1+0.02)^10,-4)))+(-PV(חישובים!$D$21,((('הנחות עסקה'!$D$72*'הנחות עסקה'!$I$70)-30)/365),,((0.7*(ROUND('מודל כלכלי'!$C$59*(1+0.02)^10,-4)))+(((('הנחות עסקה'!$D$72*'הנחות עסקה'!$I$70)-30)/365)*חישובים!$D$23*(0.7*(ROUND('מודל כלכלי'!$C$59*(1+0.02)^10,-4)))*0.5))))+(-PV(חישובים!$D$21,(('הנחות עסקה'!$D$72*'הנחות עסקה'!$I$70)/365),,((0.1*(ROUND('מודל כלכלי'!$C$59*(1+0.02)^10,-4)))+((('הנחות עסקה'!$D$72*'הנחות עסקה'!$I$70)/365)*חישובים!$D$23*(0.1*(ROUND('מודל כלכלי'!$C$59*(1+0.02)^10,-4)))*0.5)))))+(-(((0.07*(ROUND('מודל כלכלי'!$C$59*(1+0.02)^10,-4)))+(0.13*(ROUND('מודל כלכלי'!$C$59*(1+0.02)^10,-4)))+(-PV(חישובים!$D$21,((('הנחות עסקה'!$D$72*'הנחות עסקה'!$I$70)-30)/365),,((0.7*(ROUND('מודל כלכלי'!$C$59*(1+0.02)^10,-4)))+(((('הנחות עסקה'!$D$72*'הנחות עסקה'!$I$70)-30)/365)*חישובים!$D$23*(0.7*(ROUND('מודל כלכלי'!$C$59*(1+0.02)^10,-4)))*0.5))))+(-PV(חישובים!$D$21,(('הנחות עסקה'!$D$72*'הנחות עסקה'!$I$70)/365),,((0.1*(ROUND('מודל כלכלי'!$C$59*(1+0.02)^10,-4)))+((('הנחות עסקה'!$D$72*'הנחות עסקה'!$I$70)/365)*חישובים!$D$23*(0.1*(ROUND('מודל כלכלי'!$C$59*(1+0.02)^10,-4)))*0.5)))))+(-PV(חישובים!$D$21/12,(('הנחות עסקה'!$D$72*'הנחות עסקה'!$I$70)/365*12),(-FV('מודל כלכלי'!$C$20,(10+(('הנחות עסקה'!$D$71-'הנחות עסקה'!$D$72)*'הנחות עסקה'!$I$70)/365),,'מודל כלכלי'!$C$53)))))*היוון!$C$26)),ROUND('מודל כלכלי'!$C$59*(1+0.02)^10,-4)))-(חישובים!$D$28*(1+חישובים!$D$29)^10))*0.25),-4)</f>
        <v>1420000</v>
      </c>
      <c r="H18" s="24">
        <f>ROUND((IF('מודל כלכלי'!$C$26="פליפ",((-PV(חישובים!$D$21/12,(('הנחות עסקה'!$D$72*'הנחות עסקה'!$I$70)/365*12),(-FV('מודל כלכלי'!$C$20,(11+(('הנחות עסקה'!$D$71-'הנחות עסקה'!$D$72)*'הנחות עסקה'!$I$70)/365),,'מודל כלכלי'!$C$53))))+((0.07*(ROUND('מודל כלכלי'!$C$59*(1+0.02)^11,-4)))+(0.13*(ROUND('מודל כלכלי'!$C$59*(1+0.02)^11,-4)))+(-PV(חישובים!$D$21,((('הנחות עסקה'!$D$72*'הנחות עסקה'!$I$70)-30)/365),,((0.7*(ROUND('מודל כלכלי'!$C$59*(1+0.02)^11,-4)))+(((('הנחות עסקה'!$D$72*'הנחות עסקה'!$I$70)-30)/365)*חישובים!$D$23*(0.7*(ROUND('מודל כלכלי'!$C$59*(1+0.02)^11,-4)))*0.5))))+(-PV(חישובים!$D$21,(('הנחות עסקה'!$D$72*'הנחות עסקה'!$I$70)/365),,((0.1*(ROUND('מודל כלכלי'!$C$59*(1+0.02)^11,-4)))+((('הנחות עסקה'!$D$72*'הנחות עסקה'!$I$70)/365)*חישובים!$D$23*(0.1*(ROUND('מודל כלכלי'!$C$59*(1+0.02)^11,-4)))*0.5)))))+(-(((0.07*(ROUND('מודל כלכלי'!$C$59*(1+0.02)^11,-4)))+(0.13*(ROUND('מודל כלכלי'!$C$59*(1+0.02)^11,-4)))+(-PV(חישובים!$D$21,((('הנחות עסקה'!$D$72*'הנחות עסקה'!$I$70)-30)/365),,((0.7*(ROUND('מודל כלכלי'!$C$59*(1+0.02)^11,-4)))+(((('הנחות עסקה'!$D$72*'הנחות עסקה'!$I$70)-30)/365)*חישובים!$D$23*(0.7*(ROUND('מודל כלכלי'!$C$59*(1+0.02)^11,-4)))*0.5))))+(-PV(חישובים!$D$21,(('הנחות עסקה'!$D$72*'הנחות עסקה'!$I$70)/365),,((0.1*(ROUND('מודל כלכלי'!$C$59*(1+0.02)^11,-4)))+((('הנחות עסקה'!$D$72*'הנחות עסקה'!$I$70)/365)*חישובים!$D$23*(0.1*(ROUND('מודל כלכלי'!$C$59*(1+0.02)^11,-4)))*0.5)))))+(-PV(חישובים!$D$21/12,(('הנחות עסקה'!$D$72*'הנחות עסקה'!$I$70)/365*12),(-FV('מודל כלכלי'!$C$20,(11+(('הנחות עסקה'!$D$71-'הנחות עסקה'!$D$72)*'הנחות עסקה'!$I$70)/365),,'מודל כלכלי'!$C$53)))))*היוון!$C$26)),ROUND('מודל כלכלי'!$C$59*(1+0.02)^11,-4)))+(ROUND(FV('מודל כלכלי'!$C$17/12,11*12,'מודל כלכלי'!$C$48,'מודל כלכלי'!$C$46),-4))+(ROUND(-'מודל כלכלי'!$C$66*(IF('מודל כלכלי'!$C$26="פליפ",((-PV(חישובים!$D$21/12,(('הנחות עסקה'!$D$72*'הנחות עסקה'!$I$70)/365*12),(-FV('מודל כלכלי'!$C$20,(11+(('הנחות עסקה'!$D$71-'הנחות עסקה'!$D$72)*'הנחות עסקה'!$I$70)/365),,'מודל כלכלי'!$C$53))))+((0.07*(ROUND('מודל כלכלי'!$C$59*(1+0.02)^11,-4)))+(0.13*(ROUND('מודל כלכלי'!$C$59*(1+0.02)^11,-4)))+(-PV(חישובים!$D$21,((('הנחות עסקה'!$D$72*'הנחות עסקה'!$I$70)-30)/365),,((0.7*(ROUND('מודל כלכלי'!$C$59*(1+0.02)^11,-4)))+(((('הנחות עסקה'!$D$72*'הנחות עסקה'!$I$70)-30)/365)*חישובים!$D$23*(0.7*(ROUND('מודל כלכלי'!$C$59*(1+0.02)^11,-4)))*0.5))))+(-PV(חישובים!$D$21,(('הנחות עסקה'!$D$72*'הנחות עסקה'!$I$70)/365),,((0.1*(ROUND('מודל כלכלי'!$C$59*(1+0.02)^11,-4)))+((('הנחות עסקה'!$D$72*'הנחות עסקה'!$I$70)/365)*חישובים!$D$23*(0.1*(ROUND('מודל כלכלי'!$C$59*(1+0.02)^11,-4)))*0.5)))))+(-(((0.07*(ROUND('מודל כלכלי'!$C$59*(1+0.02)^11,-4)))+(0.13*(ROUND('מודל כלכלי'!$C$59*(1+0.02)^11,-4)))+(-PV(חישובים!$D$21,((('הנחות עסקה'!$D$72*'הנחות עסקה'!$I$70)-30)/365),,((0.7*(ROUND('מודל כלכלי'!$C$59*(1+0.02)^11,-4)))+(((('הנחות עסקה'!$D$72*'הנחות עסקה'!$I$70)-30)/365)*חישובים!$D$23*(0.7*(ROUND('מודל כלכלי'!$C$59*(1+0.02)^11,-4)))*0.5))))+(-PV(חישובים!$D$21,(('הנחות עסקה'!$D$72*'הנחות עסקה'!$I$70)/365),,((0.1*(ROUND('מודל כלכלי'!$C$59*(1+0.02)^11,-4)))+((('הנחות עסקה'!$D$72*'הנחות עסקה'!$I$70)/365)*חישובים!$D$23*(0.1*(ROUND('מודל כלכלי'!$C$59*(1+0.02)^11,-4)))*0.5)))))+(-PV(חישובים!$D$21/12,(('הנחות עסקה'!$D$72*'הנחות עסקה'!$I$70)/365*12),(-FV('מודל כלכלי'!$C$20,(11+(('הנחות עסקה'!$D$71-'הנחות עסקה'!$D$72)*'הנחות עסקה'!$I$70)/365),,'מודל כלכלי'!$C$53)))))*היוון!$C$26)),ROUND('מודל כלכלי'!$C$59*(1+0.02)^11,-4)))*'מודל כלכלי'!$C$14-'מודל כלכלי'!$C$68*(IF('מודל כלכלי'!$C$26="פליפ",((-PV(חישובים!$D$21/12,(('הנחות עסקה'!$D$72*'הנחות עסקה'!$I$70)/365*12),(-FV('מודל כלכלי'!$C$20,(11+(('הנחות עסקה'!$D$71-'הנחות עסקה'!$D$72)*'הנחות עסקה'!$I$70)/365),,'מודל כלכלי'!$C$53))))+((0.07*(ROUND('מודל כלכלי'!$C$59*(1+0.02)^11,-4)))+(0.13*(ROUND('מודל כלכלי'!$C$59*(1+0.02)^11,-4)))+(-PV(חישובים!$D$21,((('הנחות עסקה'!$D$72*'הנחות עסקה'!$I$70)-30)/365),,((0.7*(ROUND('מודל כלכלי'!$C$59*(1+0.02)^11,-4)))+(((('הנחות עסקה'!$D$72*'הנחות עסקה'!$I$70)-30)/365)*חישובים!$D$23*(0.7*(ROUND('מודל כלכלי'!$C$59*(1+0.02)^11,-4)))*0.5))))+(-PV(חישובים!$D$21,(('הנחות עסקה'!$D$72*'הנחות עסקה'!$I$70)/365),,((0.1*(ROUND('מודל כלכלי'!$C$59*(1+0.02)^11,-4)))+((('הנחות עסקה'!$D$72*'הנחות עסקה'!$I$70)/365)*חישובים!$D$23*(0.1*(ROUND('מודל כלכלי'!$C$59*(1+0.02)^11,-4)))*0.5)))))+(-(((0.07*(ROUND('מודל כלכלי'!$C$59*(1+0.02)^11,-4)))+(0.13*(ROUND('מודל כלכלי'!$C$59*(1+0.02)^11,-4)))+(-PV(חישובים!$D$21,((('הנחות עסקה'!$D$72*'הנחות עסקה'!$I$70)-30)/365),,((0.7*(ROUND('מודל כלכלי'!$C$59*(1+0.02)^11,-4)))+(((('הנחות עסקה'!$D$72*'הנחות עסקה'!$I$70)-30)/365)*חישובים!$D$23*(0.7*(ROUND('מודל כלכלי'!$C$59*(1+0.02)^11,-4)))*0.5))))+(-PV(חישובים!$D$21,(('הנחות עסקה'!$D$72*'הנחות עסקה'!$I$70)/365),,((0.1*(ROUND('מודל כלכלי'!$C$59*(1+0.02)^11,-4)))+((('הנחות עסקה'!$D$72*'הנחות עסקה'!$I$70)/365)*חישובים!$D$23*(0.1*(ROUND('מודל כלכלי'!$C$59*(1+0.02)^11,-4)))*0.5)))))+(-PV(חישובים!$D$21/12,(('הנחות עסקה'!$D$72*'הנחות עסקה'!$I$70)/365*12),(-FV('מודל כלכלי'!$C$20,(11+(('הנחות עסקה'!$D$71-'הנחות עסקה'!$D$72)*'הנחות עסקה'!$I$70)/365),,'מודל כלכלי'!$C$53)))))*היוון!$C$26)),ROUND('מודל כלכלי'!$C$59*(1+0.02)^11,-4)))*'מודל כלכלי'!$C$14+'מודל כלכלי'!$C$70,-3))+(ROUND(-FV(חישובים!$D$22,11*12,'מודל כלכלי'!$C$55),-3))+(-'מודל כלכלי'!$C$45)+(-MAX(0,(IF('מודל כלכלי'!$C$26="פליפ",((-PV(חישובים!$D$21/12,(('הנחות עסקה'!$D$72*'הנחות עסקה'!$I$70)/365*12),(-FV('מודל כלכלי'!$C$20,(11+(('הנחות עסקה'!$D$71-'הנחות עסקה'!$D$72)*'הנחות עסקה'!$I$70)/365),,'מודל כלכלי'!$C$53))))+((0.07*(ROUND('מודל כלכלי'!$C$59*(1+0.02)^11,-4)))+(0.13*(ROUND('מודל כלכלי'!$C$59*(1+0.02)^11,-4)))+(-PV(חישובים!$D$21,((('הנחות עסקה'!$D$72*'הנחות עסקה'!$I$70)-30)/365),,((0.7*(ROUND('מודל כלכלי'!$C$59*(1+0.02)^11,-4)))+(((('הנחות עסקה'!$D$72*'הנחות עסקה'!$I$70)-30)/365)*חישובים!$D$23*(0.7*(ROUND('מודל כלכלי'!$C$59*(1+0.02)^11,-4)))*0.5))))+(-PV(חישובים!$D$21,(('הנחות עסקה'!$D$72*'הנחות עסקה'!$I$70)/365),,((0.1*(ROUND('מודל כלכלי'!$C$59*(1+0.02)^11,-4)))+((('הנחות עסקה'!$D$72*'הנחות עסקה'!$I$70)/365)*חישובים!$D$23*(0.1*(ROUND('מודל כלכלי'!$C$59*(1+0.02)^11,-4)))*0.5)))))+(-(((0.07*(ROUND('מודל כלכלי'!$C$59*(1+0.02)^11,-4)))+(0.13*(ROUND('מודל כלכלי'!$C$59*(1+0.02)^11,-4)))+(-PV(חישובים!$D$21,((('הנחות עסקה'!$D$72*'הנחות עסקה'!$I$70)-30)/365),,((0.7*(ROUND('מודל כלכלי'!$C$59*(1+0.02)^11,-4)))+(((('הנחות עסקה'!$D$72*'הנחות עסקה'!$I$70)-30)/365)*חישובים!$D$23*(0.7*(ROUND('מודל כלכלי'!$C$59*(1+0.02)^11,-4)))*0.5))))+(-PV(חישובים!$D$21,(('הנחות עסקה'!$D$72*'הנחות עסקה'!$I$70)/365),,((0.1*(ROUND('מודל כלכלי'!$C$59*(1+0.02)^11,-4)))+((('הנחות עסקה'!$D$72*'הנחות עסקה'!$I$70)/365)*חישובים!$D$23*(0.1*(ROUND('מודל כלכלי'!$C$59*(1+0.02)^11,-4)))*0.5)))))+(-PV(חישובים!$D$21/12,(('הנחות עסקה'!$D$72*'הנחות עסקה'!$I$70)/365*12),(-FV('מודל כלכלי'!$C$20,(11+(('הנחות עסקה'!$D$71-'הנחות עסקה'!$D$72)*'הנחות עסקה'!$I$70)/365),,'מודל כלכלי'!$C$53)))))*היוון!$C$26)),ROUND('מודל כלכלי'!$C$59*(1+0.02)^11,-4)))-(חישובים!$D$28*(1+חישובים!$D$29)^11))*0.25),-4)</f>
        <v>1470000</v>
      </c>
      <c r="I18" s="24">
        <f>ROUND((IF('מודל כלכלי'!$C$26="פליפ",((-PV(חישובים!$D$21/12,(('הנחות עסקה'!$D$72*'הנחות עסקה'!$I$70)/365*12),(-FV('מודל כלכלי'!$C$20,(12+(('הנחות עסקה'!$D$71-'הנחות עסקה'!$D$72)*'הנחות עסקה'!$I$70)/365),,'מודל כלכלי'!$C$53))))+((0.07*(ROUND('מודל כלכלי'!$C$59*(1+0.02)^12,-4)))+(0.13*(ROUND('מודל כלכלי'!$C$59*(1+0.02)^12,-4)))+(-PV(חישובים!$D$21,((('הנחות עסקה'!$D$72*'הנחות עסקה'!$I$70)-30)/365),,((0.7*(ROUND('מודל כלכלי'!$C$59*(1+0.02)^12,-4)))+(((('הנחות עסקה'!$D$72*'הנחות עסקה'!$I$70)-30)/365)*חישובים!$D$23*(0.7*(ROUND('מודל כלכלי'!$C$59*(1+0.02)^12,-4)))*0.5))))+(-PV(חישובים!$D$21,(('הנחות עסקה'!$D$72*'הנחות עסקה'!$I$70)/365),,((0.1*(ROUND('מודל כלכלי'!$C$59*(1+0.02)^12,-4)))+((('הנחות עסקה'!$D$72*'הנחות עסקה'!$I$70)/365)*חישובים!$D$23*(0.1*(ROUND('מודל כלכלי'!$C$59*(1+0.02)^12,-4)))*0.5)))))+(-(((0.07*(ROUND('מודל כלכלי'!$C$59*(1+0.02)^12,-4)))+(0.13*(ROUND('מודל כלכלי'!$C$59*(1+0.02)^12,-4)))+(-PV(חישובים!$D$21,((('הנחות עסקה'!$D$72*'הנחות עסקה'!$I$70)-30)/365),,((0.7*(ROUND('מודל כלכלי'!$C$59*(1+0.02)^12,-4)))+(((('הנחות עסקה'!$D$72*'הנחות עסקה'!$I$70)-30)/365)*חישובים!$D$23*(0.7*(ROUND('מודל כלכלי'!$C$59*(1+0.02)^12,-4)))*0.5))))+(-PV(חישובים!$D$21,(('הנחות עסקה'!$D$72*'הנחות עסקה'!$I$70)/365),,((0.1*(ROUND('מודל כלכלי'!$C$59*(1+0.02)^12,-4)))+((('הנחות עסקה'!$D$72*'הנחות עסקה'!$I$70)/365)*חישובים!$D$23*(0.1*(ROUND('מודל כלכלי'!$C$59*(1+0.02)^12,-4)))*0.5)))))+(-PV(חישובים!$D$21/12,(('הנחות עסקה'!$D$72*'הנחות עסקה'!$I$70)/365*12),(-FV('מודל כלכלי'!$C$20,(12+(('הנחות עסקה'!$D$71-'הנחות עסקה'!$D$72)*'הנחות עסקה'!$I$70)/365),,'מודל כלכלי'!$C$53)))))*היוון!$C$26)),ROUND('מודל כלכלי'!$C$59*(1+0.02)^12,-4)))+(ROUND(FV('מודל כלכלי'!$C$17/12,12*12,'מודל כלכלי'!$C$48,'מודל כלכלי'!$C$46),-4))+(ROUND(-'מודל כלכלי'!$C$66*(IF('מודל כלכלי'!$C$26="פליפ",((-PV(חישובים!$D$21/12,(('הנחות עסקה'!$D$72*'הנחות עסקה'!$I$70)/365*12),(-FV('מודל כלכלי'!$C$20,(12+(('הנחות עסקה'!$D$71-'הנחות עסקה'!$D$72)*'הנחות עסקה'!$I$70)/365),,'מודל כלכלי'!$C$53))))+((0.07*(ROUND('מודל כלכלי'!$C$59*(1+0.02)^12,-4)))+(0.13*(ROUND('מודל כלכלי'!$C$59*(1+0.02)^12,-4)))+(-PV(חישובים!$D$21,((('הנחות עסקה'!$D$72*'הנחות עסקה'!$I$70)-30)/365),,((0.7*(ROUND('מודל כלכלי'!$C$59*(1+0.02)^12,-4)))+(((('הנחות עסקה'!$D$72*'הנחות עסקה'!$I$70)-30)/365)*חישובים!$D$23*(0.7*(ROUND('מודל כלכלי'!$C$59*(1+0.02)^12,-4)))*0.5))))+(-PV(חישובים!$D$21,(('הנחות עסקה'!$D$72*'הנחות עסקה'!$I$70)/365),,((0.1*(ROUND('מודל כלכלי'!$C$59*(1+0.02)^12,-4)))+((('הנחות עסקה'!$D$72*'הנחות עסקה'!$I$70)/365)*חישובים!$D$23*(0.1*(ROUND('מודל כלכלי'!$C$59*(1+0.02)^12,-4)))*0.5)))))+(-(((0.07*(ROUND('מודל כלכלי'!$C$59*(1+0.02)^12,-4)))+(0.13*(ROUND('מודל כלכלי'!$C$59*(1+0.02)^12,-4)))+(-PV(חישובים!$D$21,((('הנחות עסקה'!$D$72*'הנחות עסקה'!$I$70)-30)/365),,((0.7*(ROUND('מודל כלכלי'!$C$59*(1+0.02)^12,-4)))+(((('הנחות עסקה'!$D$72*'הנחות עסקה'!$I$70)-30)/365)*חישובים!$D$23*(0.7*(ROUND('מודל כלכלי'!$C$59*(1+0.02)^12,-4)))*0.5))))+(-PV(חישובים!$D$21,(('הנחות עסקה'!$D$72*'הנחות עסקה'!$I$70)/365),,((0.1*(ROUND('מודל כלכלי'!$C$59*(1+0.02)^12,-4)))+((('הנחות עסקה'!$D$72*'הנחות עסקה'!$I$70)/365)*חישובים!$D$23*(0.1*(ROUND('מודל כלכלי'!$C$59*(1+0.02)^12,-4)))*0.5)))))+(-PV(חישובים!$D$21/12,(('הנחות עסקה'!$D$72*'הנחות עסקה'!$I$70)/365*12),(-FV('מודל כלכלי'!$C$20,(12+(('הנחות עסקה'!$D$71-'הנחות עסקה'!$D$72)*'הנחות עסקה'!$I$70)/365),,'מודל כלכלי'!$C$53)))))*היוון!$C$26)),ROUND('מודל כלכלי'!$C$59*(1+0.02)^12,-4)))*'מודל כלכלי'!$C$14-'מודל כלכלי'!$C$68*(IF('מודל כלכלי'!$C$26="פליפ",((-PV(חישובים!$D$21/12,(('הנחות עסקה'!$D$72*'הנחות עסקה'!$I$70)/365*12),(-FV('מודל כלכלי'!$C$20,(12+(('הנחות עסקה'!$D$71-'הנחות עסקה'!$D$72)*'הנחות עסקה'!$I$70)/365),,'מודל כלכלי'!$C$53))))+((0.07*(ROUND('מודל כלכלי'!$C$59*(1+0.02)^12,-4)))+(0.13*(ROUND('מודל כלכלי'!$C$59*(1+0.02)^12,-4)))+(-PV(חישובים!$D$21,((('הנחות עסקה'!$D$72*'הנחות עסקה'!$I$70)-30)/365),,((0.7*(ROUND('מודל כלכלי'!$C$59*(1+0.02)^12,-4)))+(((('הנחות עסקה'!$D$72*'הנחות עסקה'!$I$70)-30)/365)*חישובים!$D$23*(0.7*(ROUND('מודל כלכלי'!$C$59*(1+0.02)^12,-4)))*0.5))))+(-PV(חישובים!$D$21,(('הנחות עסקה'!$D$72*'הנחות עסקה'!$I$70)/365),,((0.1*(ROUND('מודל כלכלי'!$C$59*(1+0.02)^12,-4)))+((('הנחות עסקה'!$D$72*'הנחות עסקה'!$I$70)/365)*חישובים!$D$23*(0.1*(ROUND('מודל כלכלי'!$C$59*(1+0.02)^12,-4)))*0.5)))))+(-(((0.07*(ROUND('מודל כלכלי'!$C$59*(1+0.02)^12,-4)))+(0.13*(ROUND('מודל כלכלי'!$C$59*(1+0.02)^12,-4)))+(-PV(חישובים!$D$21,((('הנחות עסקה'!$D$72*'הנחות עסקה'!$I$70)-30)/365),,((0.7*(ROUND('מודל כלכלי'!$C$59*(1+0.02)^12,-4)))+(((('הנחות עסקה'!$D$72*'הנחות עסקה'!$I$70)-30)/365)*חישובים!$D$23*(0.7*(ROUND('מודל כלכלי'!$C$59*(1+0.02)^12,-4)))*0.5))))+(-PV(חישובים!$D$21,(('הנחות עסקה'!$D$72*'הנחות עסקה'!$I$70)/365),,((0.1*(ROUND('מודל כלכלי'!$C$59*(1+0.02)^12,-4)))+((('הנחות עסקה'!$D$72*'הנחות עסקה'!$I$70)/365)*חישובים!$D$23*(0.1*(ROUND('מודל כלכלי'!$C$59*(1+0.02)^12,-4)))*0.5)))))+(-PV(חישובים!$D$21/12,(('הנחות עסקה'!$D$72*'הנחות עסקה'!$I$70)/365*12),(-FV('מודל כלכלי'!$C$20,(12+(('הנחות עסקה'!$D$71-'הנחות עסקה'!$D$72)*'הנחות עסקה'!$I$70)/365),,'מודל כלכלי'!$C$53)))))*היוון!$C$26)),ROUND('מודל כלכלי'!$C$59*(1+0.02)^12,-4)))*'מודל כלכלי'!$C$14+'מודל כלכלי'!$C$70,-3))+(ROUND(-FV(חישובים!$D$22,12*12,'מודל כלכלי'!$C$55),-3))+(-'מודל כלכלי'!$C$45)+(-MAX(0,(IF('מודל כלכלי'!$C$26="פליפ",((-PV(חישובים!$D$21/12,(('הנחות עסקה'!$D$72*'הנחות עסקה'!$I$70)/365*12),(-FV('מודל כלכלי'!$C$20,(12+(('הנחות עסקה'!$D$71-'הנחות עסקה'!$D$72)*'הנחות עסקה'!$I$70)/365),,'מודל כלכלי'!$C$53))))+((0.07*(ROUND('מודל כלכלי'!$C$59*(1+0.02)^12,-4)))+(0.13*(ROUND('מודל כלכלי'!$C$59*(1+0.02)^12,-4)))+(-PV(חישובים!$D$21,((('הנחות עסקה'!$D$72*'הנחות עסקה'!$I$70)-30)/365),,((0.7*(ROUND('מודל כלכלי'!$C$59*(1+0.02)^12,-4)))+(((('הנחות עסקה'!$D$72*'הנחות עסקה'!$I$70)-30)/365)*חישובים!$D$23*(0.7*(ROUND('מודל כלכלי'!$C$59*(1+0.02)^12,-4)))*0.5))))+(-PV(חישובים!$D$21,(('הנחות עסקה'!$D$72*'הנחות עסקה'!$I$70)/365),,((0.1*(ROUND('מודל כלכלי'!$C$59*(1+0.02)^12,-4)))+((('הנחות עסקה'!$D$72*'הנחות עסקה'!$I$70)/365)*חישובים!$D$23*(0.1*(ROUND('מודל כלכלי'!$C$59*(1+0.02)^12,-4)))*0.5)))))+(-(((0.07*(ROUND('מודל כלכלי'!$C$59*(1+0.02)^12,-4)))+(0.13*(ROUND('מודל כלכלי'!$C$59*(1+0.02)^12,-4)))+(-PV(חישובים!$D$21,((('הנחות עסקה'!$D$72*'הנחות עסקה'!$I$70)-30)/365),,((0.7*(ROUND('מודל כלכלי'!$C$59*(1+0.02)^12,-4)))+(((('הנחות עסקה'!$D$72*'הנחות עסקה'!$I$70)-30)/365)*חישובים!$D$23*(0.7*(ROUND('מודל כלכלי'!$C$59*(1+0.02)^12,-4)))*0.5))))+(-PV(חישובים!$D$21,(('הנחות עסקה'!$D$72*'הנחות עסקה'!$I$70)/365),,((0.1*(ROUND('מודל כלכלי'!$C$59*(1+0.02)^12,-4)))+((('הנחות עסקה'!$D$72*'הנחות עסקה'!$I$70)/365)*חישובים!$D$23*(0.1*(ROUND('מודל כלכלי'!$C$59*(1+0.02)^12,-4)))*0.5)))))+(-PV(חישובים!$D$21/12,(('הנחות עסקה'!$D$72*'הנחות עסקה'!$I$70)/365*12),(-FV('מודל כלכלי'!$C$20,(12+(('הנחות עסקה'!$D$71-'הנחות עסקה'!$D$72)*'הנחות עסקה'!$I$70)/365),,'מודל כלכלי'!$C$53)))))*היוון!$C$26)),ROUND('מודל כלכלי'!$C$59*(1+0.02)^12,-4)))-(חישובים!$D$28*(1+חישובים!$D$29)^12))*0.25),-4)</f>
        <v>1510000</v>
      </c>
      <c r="J18" s="24">
        <f>ROUND((IF('מודל כלכלי'!$C$26="פליפ",((-PV(חישובים!$D$21/12,(('הנחות עסקה'!$D$72*'הנחות עסקה'!$I$70)/365*12),(-FV('מודל כלכלי'!$C$20,(13+(('הנחות עסקה'!$D$71-'הנחות עסקה'!$D$72)*'הנחות עסקה'!$I$70)/365),,'מודל כלכלי'!$C$53))))+((0.07*(ROUND('מודל כלכלי'!$C$59*(1+0.02)^13,-4)))+(0.13*(ROUND('מודל כלכלי'!$C$59*(1+0.02)^13,-4)))+(-PV(חישובים!$D$21,((('הנחות עסקה'!$D$72*'הנחות עסקה'!$I$70)-30)/365),,((0.7*(ROUND('מודל כלכלי'!$C$59*(1+0.02)^13,-4)))+(((('הנחות עסקה'!$D$72*'הנחות עסקה'!$I$70)-30)/365)*חישובים!$D$23*(0.7*(ROUND('מודל כלכלי'!$C$59*(1+0.02)^13,-4)))*0.5))))+(-PV(חישובים!$D$21,(('הנחות עסקה'!$D$72*'הנחות עסקה'!$I$70)/365),,((0.1*(ROUND('מודל כלכלי'!$C$59*(1+0.02)^13,-4)))+((('הנחות עסקה'!$D$72*'הנחות עסקה'!$I$70)/365)*חישובים!$D$23*(0.1*(ROUND('מודל כלכלי'!$C$59*(1+0.02)^13,-4)))*0.5)))))+(-(((0.07*(ROUND('מודל כלכלי'!$C$59*(1+0.02)^13,-4)))+(0.13*(ROUND('מודל כלכלי'!$C$59*(1+0.02)^13,-4)))+(-PV(חישובים!$D$21,((('הנחות עסקה'!$D$72*'הנחות עסקה'!$I$70)-30)/365),,((0.7*(ROUND('מודל כלכלי'!$C$59*(1+0.02)^13,-4)))+(((('הנחות עסקה'!$D$72*'הנחות עסקה'!$I$70)-30)/365)*חישובים!$D$23*(0.7*(ROUND('מודל כלכלי'!$C$59*(1+0.02)^13,-4)))*0.5))))+(-PV(חישובים!$D$21,(('הנחות עסקה'!$D$72*'הנחות עסקה'!$I$70)/365),,((0.1*(ROUND('מודל כלכלי'!$C$59*(1+0.02)^13,-4)))+((('הנחות עסקה'!$D$72*'הנחות עסקה'!$I$70)/365)*חישובים!$D$23*(0.1*(ROUND('מודל כלכלי'!$C$59*(1+0.02)^13,-4)))*0.5)))))+(-PV(חישובים!$D$21/12,(('הנחות עסקה'!$D$72*'הנחות עסקה'!$I$70)/365*12),(-FV('מודל כלכלי'!$C$20,(13+(('הנחות עסקה'!$D$71-'הנחות עסקה'!$D$72)*'הנחות עסקה'!$I$70)/365),,'מודל כלכלי'!$C$53)))))*היוון!$C$26)),ROUND('מודל כלכלי'!$C$59*(1+0.02)^13,-4)))+(ROUND(FV('מודל כלכלי'!$C$17/12,13*12,'מודל כלכלי'!$C$48,'מודל כלכלי'!$C$46),-4))+(ROUND(-'מודל כלכלי'!$C$66*(IF('מודל כלכלי'!$C$26="פליפ",((-PV(חישובים!$D$21/12,(('הנחות עסקה'!$D$72*'הנחות עסקה'!$I$70)/365*12),(-FV('מודל כלכלי'!$C$20,(13+(('הנחות עסקה'!$D$71-'הנחות עסקה'!$D$72)*'הנחות עסקה'!$I$70)/365),,'מודל כלכלי'!$C$53))))+((0.07*(ROUND('מודל כלכלי'!$C$59*(1+0.02)^13,-4)))+(0.13*(ROUND('מודל כלכלי'!$C$59*(1+0.02)^13,-4)))+(-PV(חישובים!$D$21,((('הנחות עסקה'!$D$72*'הנחות עסקה'!$I$70)-30)/365),,((0.7*(ROUND('מודל כלכלי'!$C$59*(1+0.02)^13,-4)))+(((('הנחות עסקה'!$D$72*'הנחות עסקה'!$I$70)-30)/365)*חישובים!$D$23*(0.7*(ROUND('מודל כלכלי'!$C$59*(1+0.02)^13,-4)))*0.5))))+(-PV(חישובים!$D$21,(('הנחות עסקה'!$D$72*'הנחות עסקה'!$I$70)/365),,((0.1*(ROUND('מודל כלכלי'!$C$59*(1+0.02)^13,-4)))+((('הנחות עסקה'!$D$72*'הנחות עסקה'!$I$70)/365)*חישובים!$D$23*(0.1*(ROUND('מודל כלכלי'!$C$59*(1+0.02)^13,-4)))*0.5)))))+(-(((0.07*(ROUND('מודל כלכלי'!$C$59*(1+0.02)^13,-4)))+(0.13*(ROUND('מודל כלכלי'!$C$59*(1+0.02)^13,-4)))+(-PV(חישובים!$D$21,((('הנחות עסקה'!$D$72*'הנחות עסקה'!$I$70)-30)/365),,((0.7*(ROUND('מודל כלכלי'!$C$59*(1+0.02)^13,-4)))+(((('הנחות עסקה'!$D$72*'הנחות עסקה'!$I$70)-30)/365)*חישובים!$D$23*(0.7*(ROUND('מודל כלכלי'!$C$59*(1+0.02)^13,-4)))*0.5))))+(-PV(חישובים!$D$21,(('הנחות עסקה'!$D$72*'הנחות עסקה'!$I$70)/365),,((0.1*(ROUND('מודל כלכלי'!$C$59*(1+0.02)^13,-4)))+((('הנחות עסקה'!$D$72*'הנחות עסקה'!$I$70)/365)*חישובים!$D$23*(0.1*(ROUND('מודל כלכלי'!$C$59*(1+0.02)^13,-4)))*0.5)))))+(-PV(חישובים!$D$21/12,(('הנחות עסקה'!$D$72*'הנחות עסקה'!$I$70)/365*12),(-FV('מודל כלכלי'!$C$20,(13+(('הנחות עסקה'!$D$71-'הנחות עסקה'!$D$72)*'הנחות עסקה'!$I$70)/365),,'מודל כלכלי'!$C$53)))))*היוון!$C$26)),ROUND('מודל כלכלי'!$C$59*(1+0.02)^13,-4)))*'מודל כלכלי'!$C$14-'מודל כלכלי'!$C$68*(IF('מודל כלכלי'!$C$26="פליפ",((-PV(חישובים!$D$21/12,(('הנחות עסקה'!$D$72*'הנחות עסקה'!$I$70)/365*12),(-FV('מודל כלכלי'!$C$20,(13+(('הנחות עסקה'!$D$71-'הנחות עסקה'!$D$72)*'הנחות עסקה'!$I$70)/365),,'מודל כלכלי'!$C$53))))+((0.07*(ROUND('מודל כלכלי'!$C$59*(1+0.02)^13,-4)))+(0.13*(ROUND('מודל כלכלי'!$C$59*(1+0.02)^13,-4)))+(-PV(חישובים!$D$21,((('הנחות עסקה'!$D$72*'הנחות עסקה'!$I$70)-30)/365),,((0.7*(ROUND('מודל כלכלי'!$C$59*(1+0.02)^13,-4)))+(((('הנחות עסקה'!$D$72*'הנחות עסקה'!$I$70)-30)/365)*חישובים!$D$23*(0.7*(ROUND('מודל כלכלי'!$C$59*(1+0.02)^13,-4)))*0.5))))+(-PV(חישובים!$D$21,(('הנחות עסקה'!$D$72*'הנחות עסקה'!$I$70)/365),,((0.1*(ROUND('מודל כלכלי'!$C$59*(1+0.02)^13,-4)))+((('הנחות עסקה'!$D$72*'הנחות עסקה'!$I$70)/365)*חישובים!$D$23*(0.1*(ROUND('מודל כלכלי'!$C$59*(1+0.02)^13,-4)))*0.5)))))+(-(((0.07*(ROUND('מודל כלכלי'!$C$59*(1+0.02)^13,-4)))+(0.13*(ROUND('מודל כלכלי'!$C$59*(1+0.02)^13,-4)))+(-PV(חישובים!$D$21,((('הנחות עסקה'!$D$72*'הנחות עסקה'!$I$70)-30)/365),,((0.7*(ROUND('מודל כלכלי'!$C$59*(1+0.02)^13,-4)))+(((('הנחות עסקה'!$D$72*'הנחות עסקה'!$I$70)-30)/365)*חישובים!$D$23*(0.7*(ROUND('מודל כלכלי'!$C$59*(1+0.02)^13,-4)))*0.5))))+(-PV(חישובים!$D$21,(('הנחות עסקה'!$D$72*'הנחות עסקה'!$I$70)/365),,((0.1*(ROUND('מודל כלכלי'!$C$59*(1+0.02)^13,-4)))+((('הנחות עסקה'!$D$72*'הנחות עסקה'!$I$70)/365)*חישובים!$D$23*(0.1*(ROUND('מודל כלכלי'!$C$59*(1+0.02)^13,-4)))*0.5)))))+(-PV(חישובים!$D$21/12,(('הנחות עסקה'!$D$72*'הנחות עסקה'!$I$70)/365*12),(-FV('מודל כלכלי'!$C$20,(13+(('הנחות עסקה'!$D$71-'הנחות עסקה'!$D$72)*'הנחות עסקה'!$I$70)/365),,'מודל כלכלי'!$C$53)))))*היוון!$C$26)),ROUND('מודל כלכלי'!$C$59*(1+0.02)^13,-4)))*'מודל כלכלי'!$C$14+'מודל כלכלי'!$C$70,-3))+(ROUND(-FV(חישובים!$D$22,13*12,'מודל כלכלי'!$C$55),-3))+(-'מודל כלכלי'!$C$45)+(-MAX(0,(IF('מודל כלכלי'!$C$26="פליפ",((-PV(חישובים!$D$21/12,(('הנחות עסקה'!$D$72*'הנחות עסקה'!$I$70)/365*12),(-FV('מודל כלכלי'!$C$20,(13+(('הנחות עסקה'!$D$71-'הנחות עסקה'!$D$72)*'הנחות עסקה'!$I$70)/365),,'מודל כלכלי'!$C$53))))+((0.07*(ROUND('מודל כלכלי'!$C$59*(1+0.02)^13,-4)))+(0.13*(ROUND('מודל כלכלי'!$C$59*(1+0.02)^13,-4)))+(-PV(חישובים!$D$21,((('הנחות עסקה'!$D$72*'הנחות עסקה'!$I$70)-30)/365),,((0.7*(ROUND('מודל כלכלי'!$C$59*(1+0.02)^13,-4)))+(((('הנחות עסקה'!$D$72*'הנחות עסקה'!$I$70)-30)/365)*חישובים!$D$23*(0.7*(ROUND('מודל כלכלי'!$C$59*(1+0.02)^13,-4)))*0.5))))+(-PV(חישובים!$D$21,(('הנחות עסקה'!$D$72*'הנחות עסקה'!$I$70)/365),,((0.1*(ROUND('מודל כלכלי'!$C$59*(1+0.02)^13,-4)))+((('הנחות עסקה'!$D$72*'הנחות עסקה'!$I$70)/365)*חישובים!$D$23*(0.1*(ROUND('מודל כלכלי'!$C$59*(1+0.02)^13,-4)))*0.5)))))+(-(((0.07*(ROUND('מודל כלכלי'!$C$59*(1+0.02)^13,-4)))+(0.13*(ROUND('מודל כלכלי'!$C$59*(1+0.02)^13,-4)))+(-PV(חישובים!$D$21,((('הנחות עסקה'!$D$72*'הנחות עסקה'!$I$70)-30)/365),,((0.7*(ROUND('מודל כלכלי'!$C$59*(1+0.02)^13,-4)))+(((('הנחות עסקה'!$D$72*'הנחות עסקה'!$I$70)-30)/365)*חישובים!$D$23*(0.7*(ROUND('מודל כלכלי'!$C$59*(1+0.02)^13,-4)))*0.5))))+(-PV(חישובים!$D$21,(('הנחות עסקה'!$D$72*'הנחות עסקה'!$I$70)/365),,((0.1*(ROUND('מודל כלכלי'!$C$59*(1+0.02)^13,-4)))+((('הנחות עסקה'!$D$72*'הנחות עסקה'!$I$70)/365)*חישובים!$D$23*(0.1*(ROUND('מודל כלכלי'!$C$59*(1+0.02)^13,-4)))*0.5)))))+(-PV(חישובים!$D$21/12,(('הנחות עסקה'!$D$72*'הנחות עסקה'!$I$70)/365*12),(-FV('מודל כלכלי'!$C$20,(13+(('הנחות עסקה'!$D$71-'הנחות עסקה'!$D$72)*'הנחות עסקה'!$I$70)/365),,'מודל כלכלי'!$C$53)))))*היוון!$C$26)),ROUND('מודל כלכלי'!$C$59*(1+0.02)^13,-4)))-(חישובים!$D$28*(1+חישובים!$D$29)^13))*0.25),-4)</f>
        <v>1560000</v>
      </c>
    </row>
    <row r="19" spans="2:10" ht="15" customHeight="1">
      <c r="B19" s="74">
        <v>0.03</v>
      </c>
      <c r="C19" s="24">
        <f>ROUND((IF('מודל כלכלי'!$C$26="פליפ",((-PV(חישובים!$D$21/12,(('הנחות עסקה'!$D$72*'הנחות עסקה'!$I$70)/365*12),(-FV('מודל כלכלי'!$C$20,(6+(('הנחות עסקה'!$D$71-'הנחות עסקה'!$D$72)*'הנחות עסקה'!$I$70)/365),,'מודל כלכלי'!$C$53))))+((0.07*(ROUND('מודל כלכלי'!$C$59*(1+0.03)^6,-4)))+(0.13*(ROUND('מודל כלכלי'!$C$59*(1+0.03)^6,-4)))+(-PV(חישובים!$D$21,((('הנחות עסקה'!$D$72*'הנחות עסקה'!$I$70)-30)/365),,((0.7*(ROUND('מודל כלכלי'!$C$59*(1+0.03)^6,-4)))+(((('הנחות עסקה'!$D$72*'הנחות עסקה'!$I$70)-30)/365)*חישובים!$D$23*(0.7*(ROUND('מודל כלכלי'!$C$59*(1+0.03)^6,-4)))*0.5))))+(-PV(חישובים!$D$21,(('הנחות עסקה'!$D$72*'הנחות עסקה'!$I$70)/365),,((0.1*(ROUND('מודל כלכלי'!$C$59*(1+0.03)^6,-4)))+((('הנחות עסקה'!$D$72*'הנחות עסקה'!$I$70)/365)*חישובים!$D$23*(0.1*(ROUND('מודל כלכלי'!$C$59*(1+0.03)^6,-4)))*0.5)))))+(-(((0.07*(ROUND('מודל כלכלי'!$C$59*(1+0.03)^6,-4)))+(0.13*(ROUND('מודל כלכלי'!$C$59*(1+0.03)^6,-4)))+(-PV(חישובים!$D$21,((('הנחות עסקה'!$D$72*'הנחות עסקה'!$I$70)-30)/365),,((0.7*(ROUND('מודל כלכלי'!$C$59*(1+0.03)^6,-4)))+(((('הנחות עסקה'!$D$72*'הנחות עסקה'!$I$70)-30)/365)*חישובים!$D$23*(0.7*(ROUND('מודל כלכלי'!$C$59*(1+0.03)^6,-4)))*0.5))))+(-PV(חישובים!$D$21,(('הנחות עסקה'!$D$72*'הנחות עסקה'!$I$70)/365),,((0.1*(ROUND('מודל כלכלי'!$C$59*(1+0.03)^6,-4)))+((('הנחות עסקה'!$D$72*'הנחות עסקה'!$I$70)/365)*חישובים!$D$23*(0.1*(ROUND('מודל כלכלי'!$C$59*(1+0.03)^6,-4)))*0.5)))))+(-PV(חישובים!$D$21/12,(('הנחות עסקה'!$D$72*'הנחות עסקה'!$I$70)/365*12),(-FV('מודל כלכלי'!$C$20,(6+(('הנחות עסקה'!$D$71-'הנחות עסקה'!$D$72)*'הנחות עסקה'!$I$70)/365),,'מודל כלכלי'!$C$53)))))*היוון!$C$26)),ROUND('מודל כלכלי'!$C$59*(1+0.03)^6,-4)))+(ROUND(FV('מודל כלכלי'!$C$17/12,6*12,'מודל כלכלי'!$C$48,'מודל כלכלי'!$C$46),-4))+(ROUND(-'מודל כלכלי'!$C$66*(IF('מודל כלכלי'!$C$26="פליפ",((-PV(חישובים!$D$21/12,(('הנחות עסקה'!$D$72*'הנחות עסקה'!$I$70)/365*12),(-FV('מודל כלכלי'!$C$20,(6+(('הנחות עסקה'!$D$71-'הנחות עסקה'!$D$72)*'הנחות עסקה'!$I$70)/365),,'מודל כלכלי'!$C$53))))+((0.07*(ROUND('מודל כלכלי'!$C$59*(1+0.03)^6,-4)))+(0.13*(ROUND('מודל כלכלי'!$C$59*(1+0.03)^6,-4)))+(-PV(חישובים!$D$21,((('הנחות עסקה'!$D$72*'הנחות עסקה'!$I$70)-30)/365),,((0.7*(ROUND('מודל כלכלי'!$C$59*(1+0.03)^6,-4)))+(((('הנחות עסקה'!$D$72*'הנחות עסקה'!$I$70)-30)/365)*חישובים!$D$23*(0.7*(ROUND('מודל כלכלי'!$C$59*(1+0.03)^6,-4)))*0.5))))+(-PV(חישובים!$D$21,(('הנחות עסקה'!$D$72*'הנחות עסקה'!$I$70)/365),,((0.1*(ROUND('מודל כלכלי'!$C$59*(1+0.03)^6,-4)))+((('הנחות עסקה'!$D$72*'הנחות עסקה'!$I$70)/365)*חישובים!$D$23*(0.1*(ROUND('מודל כלכלי'!$C$59*(1+0.03)^6,-4)))*0.5)))))+(-(((0.07*(ROUND('מודל כלכלי'!$C$59*(1+0.03)^6,-4)))+(0.13*(ROUND('מודל כלכלי'!$C$59*(1+0.03)^6,-4)))+(-PV(חישובים!$D$21,((('הנחות עסקה'!$D$72*'הנחות עסקה'!$I$70)-30)/365),,((0.7*(ROUND('מודל כלכלי'!$C$59*(1+0.03)^6,-4)))+(((('הנחות עסקה'!$D$72*'הנחות עסקה'!$I$70)-30)/365)*חישובים!$D$23*(0.7*(ROUND('מודל כלכלי'!$C$59*(1+0.03)^6,-4)))*0.5))))+(-PV(חישובים!$D$21,(('הנחות עסקה'!$D$72*'הנחות עסקה'!$I$70)/365),,((0.1*(ROUND('מודל כלכלי'!$C$59*(1+0.03)^6,-4)))+((('הנחות עסקה'!$D$72*'הנחות עסקה'!$I$70)/365)*חישובים!$D$23*(0.1*(ROUND('מודל כלכלי'!$C$59*(1+0.03)^6,-4)))*0.5)))))+(-PV(חישובים!$D$21/12,(('הנחות עסקה'!$D$72*'הנחות עסקה'!$I$70)/365*12),(-FV('מודל כלכלי'!$C$20,(6+(('הנחות עסקה'!$D$71-'הנחות עסקה'!$D$72)*'הנחות עסקה'!$I$70)/365),,'מודל כלכלי'!$C$53)))))*היוון!$C$26)),ROUND('מודל כלכלי'!$C$59*(1+0.03)^6,-4)))*'מודל כלכלי'!$C$14-'מודל כלכלי'!$C$68*(IF('מודל כלכלי'!$C$26="פליפ",((-PV(חישובים!$D$21/12,(('הנחות עסקה'!$D$72*'הנחות עסקה'!$I$70)/365*12),(-FV('מודל כלכלי'!$C$20,(6+(('הנחות עסקה'!$D$71-'הנחות עסקה'!$D$72)*'הנחות עסקה'!$I$70)/365),,'מודל כלכלי'!$C$53))))+((0.07*(ROUND('מודל כלכלי'!$C$59*(1+0.03)^6,-4)))+(0.13*(ROUND('מודל כלכלי'!$C$59*(1+0.03)^6,-4)))+(-PV(חישובים!$D$21,((('הנחות עסקה'!$D$72*'הנחות עסקה'!$I$70)-30)/365),,((0.7*(ROUND('מודל כלכלי'!$C$59*(1+0.03)^6,-4)))+(((('הנחות עסקה'!$D$72*'הנחות עסקה'!$I$70)-30)/365)*חישובים!$D$23*(0.7*(ROUND('מודל כלכלי'!$C$59*(1+0.03)^6,-4)))*0.5))))+(-PV(חישובים!$D$21,(('הנחות עסקה'!$D$72*'הנחות עסקה'!$I$70)/365),,((0.1*(ROUND('מודל כלכלי'!$C$59*(1+0.03)^6,-4)))+((('הנחות עסקה'!$D$72*'הנחות עסקה'!$I$70)/365)*חישובים!$D$23*(0.1*(ROUND('מודל כלכלי'!$C$59*(1+0.03)^6,-4)))*0.5)))))+(-(((0.07*(ROUND('מודל כלכלי'!$C$59*(1+0.03)^6,-4)))+(0.13*(ROUND('מודל כלכלי'!$C$59*(1+0.03)^6,-4)))+(-PV(חישובים!$D$21,((('הנחות עסקה'!$D$72*'הנחות עסקה'!$I$70)-30)/365),,((0.7*(ROUND('מודל כלכלי'!$C$59*(1+0.03)^6,-4)))+(((('הנחות עסקה'!$D$72*'הנחות עסקה'!$I$70)-30)/365)*חישובים!$D$23*(0.7*(ROUND('מודל כלכלי'!$C$59*(1+0.03)^6,-4)))*0.5))))+(-PV(חישובים!$D$21,(('הנחות עסקה'!$D$72*'הנחות עסקה'!$I$70)/365),,((0.1*(ROUND('מודל כלכלי'!$C$59*(1+0.03)^6,-4)))+((('הנחות עסקה'!$D$72*'הנחות עסקה'!$I$70)/365)*חישובים!$D$23*(0.1*(ROUND('מודל כלכלי'!$C$59*(1+0.03)^6,-4)))*0.5)))))+(-PV(חישובים!$D$21/12,(('הנחות עסקה'!$D$72*'הנחות עסקה'!$I$70)/365*12),(-FV('מודל כלכלי'!$C$20,(6+(('הנחות עסקה'!$D$71-'הנחות עסקה'!$D$72)*'הנחות עסקה'!$I$70)/365),,'מודל כלכלי'!$C$53)))))*היוון!$C$26)),ROUND('מודל כלכלי'!$C$59*(1+0.03)^6,-4)))*'מודל כלכלי'!$C$14+'מודל כלכלי'!$C$70,-3))+(ROUND(-FV(חישובים!$D$22,6*12,'מודל כלכלי'!$C$55),-3))+(-'מודל כלכלי'!$C$45)+(-MAX(0,(IF('מודל כלכלי'!$C$26="פליפ",((-PV(חישובים!$D$21/12,(('הנחות עסקה'!$D$72*'הנחות עסקה'!$I$70)/365*12),(-FV('מודל כלכלי'!$C$20,(6+(('הנחות עסקה'!$D$71-'הנחות עסקה'!$D$72)*'הנחות עסקה'!$I$70)/365),,'מודל כלכלי'!$C$53))))+((0.07*(ROUND('מודל כלכלי'!$C$59*(1+0.03)^6,-4)))+(0.13*(ROUND('מודל כלכלי'!$C$59*(1+0.03)^6,-4)))+(-PV(חישובים!$D$21,((('הנחות עסקה'!$D$72*'הנחות עסקה'!$I$70)-30)/365),,((0.7*(ROUND('מודל כלכלי'!$C$59*(1+0.03)^6,-4)))+(((('הנחות עסקה'!$D$72*'הנחות עסקה'!$I$70)-30)/365)*חישובים!$D$23*(0.7*(ROUND('מודל כלכלי'!$C$59*(1+0.03)^6,-4)))*0.5))))+(-PV(חישובים!$D$21,(('הנחות עסקה'!$D$72*'הנחות עסקה'!$I$70)/365),,((0.1*(ROUND('מודל כלכלי'!$C$59*(1+0.03)^6,-4)))+((('הנחות עסקה'!$D$72*'הנחות עסקה'!$I$70)/365)*חישובים!$D$23*(0.1*(ROUND('מודל כלכלי'!$C$59*(1+0.03)^6,-4)))*0.5)))))+(-(((0.07*(ROUND('מודל כלכלי'!$C$59*(1+0.03)^6,-4)))+(0.13*(ROUND('מודל כלכלי'!$C$59*(1+0.03)^6,-4)))+(-PV(חישובים!$D$21,((('הנחות עסקה'!$D$72*'הנחות עסקה'!$I$70)-30)/365),,((0.7*(ROUND('מודל כלכלי'!$C$59*(1+0.03)^6,-4)))+(((('הנחות עסקה'!$D$72*'הנחות עסקה'!$I$70)-30)/365)*חישובים!$D$23*(0.7*(ROUND('מודל כלכלי'!$C$59*(1+0.03)^6,-4)))*0.5))))+(-PV(חישובים!$D$21,(('הנחות עסקה'!$D$72*'הנחות עסקה'!$I$70)/365),,((0.1*(ROUND('מודל כלכלי'!$C$59*(1+0.03)^6,-4)))+((('הנחות עסקה'!$D$72*'הנחות עסקה'!$I$70)/365)*חישובים!$D$23*(0.1*(ROUND('מודל כלכלי'!$C$59*(1+0.03)^6,-4)))*0.5)))))+(-PV(חישובים!$D$21/12,(('הנחות עסקה'!$D$72*'הנחות עסקה'!$I$70)/365*12),(-FV('מודל כלכלי'!$C$20,(6+(('הנחות עסקה'!$D$71-'הנחות עסקה'!$D$72)*'הנחות עסקה'!$I$70)/365),,'מודל כלכלי'!$C$53)))))*היוון!$C$26)),ROUND('מודל כלכלי'!$C$59*(1+0.03)^6,-4)))-(חישובים!$D$28*(1+חישובים!$D$29)^6))*0.25),-4)</f>
        <v>1430000</v>
      </c>
      <c r="D19" s="24">
        <f>ROUND((IF('מודל כלכלי'!$C$26="פליפ",((-PV(חישובים!$D$21/12,(('הנחות עסקה'!$D$72*'הנחות עסקה'!$I$70)/365*12),(-FV('מודל כלכלי'!$C$20,(7+(('הנחות עסקה'!$D$71-'הנחות עסקה'!$D$72)*'הנחות עסקה'!$I$70)/365),,'מודל כלכלי'!$C$53))))+((0.07*(ROUND('מודל כלכלי'!$C$59*(1+0.03)^7,-4)))+(0.13*(ROUND('מודל כלכלי'!$C$59*(1+0.03)^7,-4)))+(-PV(חישובים!$D$21,((('הנחות עסקה'!$D$72*'הנחות עסקה'!$I$70)-30)/365),,((0.7*(ROUND('מודל כלכלי'!$C$59*(1+0.03)^7,-4)))+(((('הנחות עסקה'!$D$72*'הנחות עסקה'!$I$70)-30)/365)*חישובים!$D$23*(0.7*(ROUND('מודל כלכלי'!$C$59*(1+0.03)^7,-4)))*0.5))))+(-PV(חישובים!$D$21,(('הנחות עסקה'!$D$72*'הנחות עסקה'!$I$70)/365),,((0.1*(ROUND('מודל כלכלי'!$C$59*(1+0.03)^7,-4)))+((('הנחות עסקה'!$D$72*'הנחות עסקה'!$I$70)/365)*חישובים!$D$23*(0.1*(ROUND('מודל כלכלי'!$C$59*(1+0.03)^7,-4)))*0.5)))))+(-(((0.07*(ROUND('מודל כלכלי'!$C$59*(1+0.03)^7,-4)))+(0.13*(ROUND('מודל כלכלי'!$C$59*(1+0.03)^7,-4)))+(-PV(חישובים!$D$21,((('הנחות עסקה'!$D$72*'הנחות עסקה'!$I$70)-30)/365),,((0.7*(ROUND('מודל כלכלי'!$C$59*(1+0.03)^7,-4)))+(((('הנחות עסקה'!$D$72*'הנחות עסקה'!$I$70)-30)/365)*חישובים!$D$23*(0.7*(ROUND('מודל כלכלי'!$C$59*(1+0.03)^7,-4)))*0.5))))+(-PV(חישובים!$D$21,(('הנחות עסקה'!$D$72*'הנחות עסקה'!$I$70)/365),,((0.1*(ROUND('מודל כלכלי'!$C$59*(1+0.03)^7,-4)))+((('הנחות עסקה'!$D$72*'הנחות עסקה'!$I$70)/365)*חישובים!$D$23*(0.1*(ROUND('מודל כלכלי'!$C$59*(1+0.03)^7,-4)))*0.5)))))+(-PV(חישובים!$D$21/12,(('הנחות עסקה'!$D$72*'הנחות עסקה'!$I$70)/365*12),(-FV('מודל כלכלי'!$C$20,(7+(('הנחות עסקה'!$D$71-'הנחות עסקה'!$D$72)*'הנחות עסקה'!$I$70)/365),,'מודל כלכלי'!$C$53)))))*היוון!$C$26)),ROUND('מודל כלכלי'!$C$59*(1+0.03)^7,-4)))+(ROUND(FV('מודל כלכלי'!$C$17/12,7*12,'מודל כלכלי'!$C$48,'מודל כלכלי'!$C$46),-4))+(ROUND(-'מודל כלכלי'!$C$66*(IF('מודל כלכלי'!$C$26="פליפ",((-PV(חישובים!$D$21/12,(('הנחות עסקה'!$D$72*'הנחות עסקה'!$I$70)/365*12),(-FV('מודל כלכלי'!$C$20,(7+(('הנחות עסקה'!$D$71-'הנחות עסקה'!$D$72)*'הנחות עסקה'!$I$70)/365),,'מודל כלכלי'!$C$53))))+((0.07*(ROUND('מודל כלכלי'!$C$59*(1+0.03)^7,-4)))+(0.13*(ROUND('מודל כלכלי'!$C$59*(1+0.03)^7,-4)))+(-PV(חישובים!$D$21,((('הנחות עסקה'!$D$72*'הנחות עסקה'!$I$70)-30)/365),,((0.7*(ROUND('מודל כלכלי'!$C$59*(1+0.03)^7,-4)))+(((('הנחות עסקה'!$D$72*'הנחות עסקה'!$I$70)-30)/365)*חישובים!$D$23*(0.7*(ROUND('מודל כלכלי'!$C$59*(1+0.03)^7,-4)))*0.5))))+(-PV(חישובים!$D$21,(('הנחות עסקה'!$D$72*'הנחות עסקה'!$I$70)/365),,((0.1*(ROUND('מודל כלכלי'!$C$59*(1+0.03)^7,-4)))+((('הנחות עסקה'!$D$72*'הנחות עסקה'!$I$70)/365)*חישובים!$D$23*(0.1*(ROUND('מודל כלכלי'!$C$59*(1+0.03)^7,-4)))*0.5)))))+(-(((0.07*(ROUND('מודל כלכלי'!$C$59*(1+0.03)^7,-4)))+(0.13*(ROUND('מודל כלכלי'!$C$59*(1+0.03)^7,-4)))+(-PV(חישובים!$D$21,((('הנחות עסקה'!$D$72*'הנחות עסקה'!$I$70)-30)/365),,((0.7*(ROUND('מודל כלכלי'!$C$59*(1+0.03)^7,-4)))+(((('הנחות עסקה'!$D$72*'הנחות עסקה'!$I$70)-30)/365)*חישובים!$D$23*(0.7*(ROUND('מודל כלכלי'!$C$59*(1+0.03)^7,-4)))*0.5))))+(-PV(חישובים!$D$21,(('הנחות עסקה'!$D$72*'הנחות עסקה'!$I$70)/365),,((0.1*(ROUND('מודל כלכלי'!$C$59*(1+0.03)^7,-4)))+((('הנחות עסקה'!$D$72*'הנחות עסקה'!$I$70)/365)*חישובים!$D$23*(0.1*(ROUND('מודל כלכלי'!$C$59*(1+0.03)^7,-4)))*0.5)))))+(-PV(חישובים!$D$21/12,(('הנחות עסקה'!$D$72*'הנחות עסקה'!$I$70)/365*12),(-FV('מודל כלכלי'!$C$20,(7+(('הנחות עסקה'!$D$71-'הנחות עסקה'!$D$72)*'הנחות עסקה'!$I$70)/365),,'מודל כלכלי'!$C$53)))))*היוון!$C$26)),ROUND('מודל כלכלי'!$C$59*(1+0.03)^7,-4)))*'מודל כלכלי'!$C$14-'מודל כלכלי'!$C$68*(IF('מודל כלכלי'!$C$26="פליפ",((-PV(חישובים!$D$21/12,(('הנחות עסקה'!$D$72*'הנחות עסקה'!$I$70)/365*12),(-FV('מודל כלכלי'!$C$20,(7+(('הנחות עסקה'!$D$71-'הנחות עסקה'!$D$72)*'הנחות עסקה'!$I$70)/365),,'מודל כלכלי'!$C$53))))+((0.07*(ROUND('מודל כלכלי'!$C$59*(1+0.03)^7,-4)))+(0.13*(ROUND('מודל כלכלי'!$C$59*(1+0.03)^7,-4)))+(-PV(חישובים!$D$21,((('הנחות עסקה'!$D$72*'הנחות עסקה'!$I$70)-30)/365),,((0.7*(ROUND('מודל כלכלי'!$C$59*(1+0.03)^7,-4)))+(((('הנחות עסקה'!$D$72*'הנחות עסקה'!$I$70)-30)/365)*חישובים!$D$23*(0.7*(ROUND('מודל כלכלי'!$C$59*(1+0.03)^7,-4)))*0.5))))+(-PV(חישובים!$D$21,(('הנחות עסקה'!$D$72*'הנחות עסקה'!$I$70)/365),,((0.1*(ROUND('מודל כלכלי'!$C$59*(1+0.03)^7,-4)))+((('הנחות עסקה'!$D$72*'הנחות עסקה'!$I$70)/365)*חישובים!$D$23*(0.1*(ROUND('מודל כלכלי'!$C$59*(1+0.03)^7,-4)))*0.5)))))+(-(((0.07*(ROUND('מודל כלכלי'!$C$59*(1+0.03)^7,-4)))+(0.13*(ROUND('מודל כלכלי'!$C$59*(1+0.03)^7,-4)))+(-PV(חישובים!$D$21,((('הנחות עסקה'!$D$72*'הנחות עסקה'!$I$70)-30)/365),,((0.7*(ROUND('מודל כלכלי'!$C$59*(1+0.03)^7,-4)))+(((('הנחות עסקה'!$D$72*'הנחות עסקה'!$I$70)-30)/365)*חישובים!$D$23*(0.7*(ROUND('מודל כלכלי'!$C$59*(1+0.03)^7,-4)))*0.5))))+(-PV(חישובים!$D$21,(('הנחות עסקה'!$D$72*'הנחות עסקה'!$I$70)/365),,((0.1*(ROUND('מודל כלכלי'!$C$59*(1+0.03)^7,-4)))+((('הנחות עסקה'!$D$72*'הנחות עסקה'!$I$70)/365)*חישובים!$D$23*(0.1*(ROUND('מודל כלכלי'!$C$59*(1+0.03)^7,-4)))*0.5)))))+(-PV(חישובים!$D$21/12,(('הנחות עסקה'!$D$72*'הנחות עסקה'!$I$70)/365*12),(-FV('מודל כלכלי'!$C$20,(7+(('הנחות עסקה'!$D$71-'הנחות עסקה'!$D$72)*'הנחות עסקה'!$I$70)/365),,'מודל כלכלי'!$C$53)))))*היוון!$C$26)),ROUND('מודל כלכלי'!$C$59*(1+0.03)^7,-4)))*'מודל כלכלי'!$C$14+'מודל כלכלי'!$C$70,-3))+(ROUND(-FV(חישובים!$D$22,7*12,'מודל כלכלי'!$C$55),-3))+(-'מודל כלכלי'!$C$45)+(-MAX(0,(IF('מודל כלכלי'!$C$26="פליפ",((-PV(חישובים!$D$21/12,(('הנחות עסקה'!$D$72*'הנחות עסקה'!$I$70)/365*12),(-FV('מודל כלכלי'!$C$20,(7+(('הנחות עסקה'!$D$71-'הנחות עסקה'!$D$72)*'הנחות עסקה'!$I$70)/365),,'מודל כלכלי'!$C$53))))+((0.07*(ROUND('מודל כלכלי'!$C$59*(1+0.03)^7,-4)))+(0.13*(ROUND('מודל כלכלי'!$C$59*(1+0.03)^7,-4)))+(-PV(חישובים!$D$21,((('הנחות עסקה'!$D$72*'הנחות עסקה'!$I$70)-30)/365),,((0.7*(ROUND('מודל כלכלי'!$C$59*(1+0.03)^7,-4)))+(((('הנחות עסקה'!$D$72*'הנחות עסקה'!$I$70)-30)/365)*חישובים!$D$23*(0.7*(ROUND('מודל כלכלי'!$C$59*(1+0.03)^7,-4)))*0.5))))+(-PV(חישובים!$D$21,(('הנחות עסקה'!$D$72*'הנחות עסקה'!$I$70)/365),,((0.1*(ROUND('מודל כלכלי'!$C$59*(1+0.03)^7,-4)))+((('הנחות עסקה'!$D$72*'הנחות עסקה'!$I$70)/365)*חישובים!$D$23*(0.1*(ROUND('מודל כלכלי'!$C$59*(1+0.03)^7,-4)))*0.5)))))+(-(((0.07*(ROUND('מודל כלכלי'!$C$59*(1+0.03)^7,-4)))+(0.13*(ROUND('מודל כלכלי'!$C$59*(1+0.03)^7,-4)))+(-PV(חישובים!$D$21,((('הנחות עסקה'!$D$72*'הנחות עסקה'!$I$70)-30)/365),,((0.7*(ROUND('מודל כלכלי'!$C$59*(1+0.03)^7,-4)))+(((('הנחות עסקה'!$D$72*'הנחות עסקה'!$I$70)-30)/365)*חישובים!$D$23*(0.7*(ROUND('מודל כלכלי'!$C$59*(1+0.03)^7,-4)))*0.5))))+(-PV(חישובים!$D$21,(('הנחות עסקה'!$D$72*'הנחות עסקה'!$I$70)/365),,((0.1*(ROUND('מודל כלכלי'!$C$59*(1+0.03)^7,-4)))+((('הנחות עסקה'!$D$72*'הנחות עסקה'!$I$70)/365)*חישובים!$D$23*(0.1*(ROUND('מודל כלכלי'!$C$59*(1+0.03)^7,-4)))*0.5)))))+(-PV(חישובים!$D$21/12,(('הנחות עסקה'!$D$72*'הנחות עסקה'!$I$70)/365*12),(-FV('מודל כלכלי'!$C$20,(7+(('הנחות עסקה'!$D$71-'הנחות עסקה'!$D$72)*'הנחות עסקה'!$I$70)/365),,'מודל כלכלי'!$C$53)))))*היוון!$C$26)),ROUND('מודל כלכלי'!$C$59*(1+0.03)^7,-4)))-(חישובים!$D$28*(1+חישובים!$D$29)^7))*0.25),-4)</f>
        <v>1530000</v>
      </c>
      <c r="E19" s="24">
        <f>ROUND((IF('מודל כלכלי'!$C$26="פליפ",((-PV(חישובים!$D$21/12,(('הנחות עסקה'!$D$72*'הנחות עסקה'!$I$70)/365*12),(-FV('מודל כלכלי'!$C$20,(8+(('הנחות עסקה'!$D$71-'הנחות עסקה'!$D$72)*'הנחות עסקה'!$I$70)/365),,'מודל כלכלי'!$C$53))))+((0.07*(ROUND('מודל כלכלי'!$C$59*(1+0.03)^8,-4)))+(0.13*(ROUND('מודל כלכלי'!$C$59*(1+0.03)^8,-4)))+(-PV(חישובים!$D$21,((('הנחות עסקה'!$D$72*'הנחות עסקה'!$I$70)-30)/365),,((0.7*(ROUND('מודל כלכלי'!$C$59*(1+0.03)^8,-4)))+(((('הנחות עסקה'!$D$72*'הנחות עסקה'!$I$70)-30)/365)*חישובים!$D$23*(0.7*(ROUND('מודל כלכלי'!$C$59*(1+0.03)^8,-4)))*0.5))))+(-PV(חישובים!$D$21,(('הנחות עסקה'!$D$72*'הנחות עסקה'!$I$70)/365),,((0.1*(ROUND('מודל כלכלי'!$C$59*(1+0.03)^8,-4)))+((('הנחות עסקה'!$D$72*'הנחות עסקה'!$I$70)/365)*חישובים!$D$23*(0.1*(ROUND('מודל כלכלי'!$C$59*(1+0.03)^8,-4)))*0.5)))))+(-(((0.07*(ROUND('מודל כלכלי'!$C$59*(1+0.03)^8,-4)))+(0.13*(ROUND('מודל כלכלי'!$C$59*(1+0.03)^8,-4)))+(-PV(חישובים!$D$21,((('הנחות עסקה'!$D$72*'הנחות עסקה'!$I$70)-30)/365),,((0.7*(ROUND('מודל כלכלי'!$C$59*(1+0.03)^8,-4)))+(((('הנחות עסקה'!$D$72*'הנחות עסקה'!$I$70)-30)/365)*חישובים!$D$23*(0.7*(ROUND('מודל כלכלי'!$C$59*(1+0.03)^8,-4)))*0.5))))+(-PV(חישובים!$D$21,(('הנחות עסקה'!$D$72*'הנחות עסקה'!$I$70)/365),,((0.1*(ROUND('מודל כלכלי'!$C$59*(1+0.03)^8,-4)))+((('הנחות עסקה'!$D$72*'הנחות עסקה'!$I$70)/365)*חישובים!$D$23*(0.1*(ROUND('מודל כלכלי'!$C$59*(1+0.03)^8,-4)))*0.5)))))+(-PV(חישובים!$D$21/12,(('הנחות עסקה'!$D$72*'הנחות עסקה'!$I$70)/365*12),(-FV('מודל כלכלי'!$C$20,(8+(('הנחות עסקה'!$D$71-'הנחות עסקה'!$D$72)*'הנחות עסקה'!$I$70)/365),,'מודל כלכלי'!$C$53)))))*היוון!$C$26)),ROUND('מודל כלכלי'!$C$59*(1+0.03)^8,-4)))+(ROUND(FV('מודל כלכלי'!$C$17/12,8*12,'מודל כלכלי'!$C$48,'מודל כלכלי'!$C$46),-4))+(ROUND(-'מודל כלכלי'!$C$66*(IF('מודל כלכלי'!$C$26="פליפ",((-PV(חישובים!$D$21/12,(('הנחות עסקה'!$D$72*'הנחות עסקה'!$I$70)/365*12),(-FV('מודל כלכלי'!$C$20,(8+(('הנחות עסקה'!$D$71-'הנחות עסקה'!$D$72)*'הנחות עסקה'!$I$70)/365),,'מודל כלכלי'!$C$53))))+((0.07*(ROUND('מודל כלכלי'!$C$59*(1+0.03)^8,-4)))+(0.13*(ROUND('מודל כלכלי'!$C$59*(1+0.03)^8,-4)))+(-PV(חישובים!$D$21,((('הנחות עסקה'!$D$72*'הנחות עסקה'!$I$70)-30)/365),,((0.7*(ROUND('מודל כלכלי'!$C$59*(1+0.03)^8,-4)))+(((('הנחות עסקה'!$D$72*'הנחות עסקה'!$I$70)-30)/365)*חישובים!$D$23*(0.7*(ROUND('מודל כלכלי'!$C$59*(1+0.03)^8,-4)))*0.5))))+(-PV(חישובים!$D$21,(('הנחות עסקה'!$D$72*'הנחות עסקה'!$I$70)/365),,((0.1*(ROUND('מודל כלכלי'!$C$59*(1+0.03)^8,-4)))+((('הנחות עסקה'!$D$72*'הנחות עסקה'!$I$70)/365)*חישובים!$D$23*(0.1*(ROUND('מודל כלכלי'!$C$59*(1+0.03)^8,-4)))*0.5)))))+(-(((0.07*(ROUND('מודל כלכלי'!$C$59*(1+0.03)^8,-4)))+(0.13*(ROUND('מודל כלכלי'!$C$59*(1+0.03)^8,-4)))+(-PV(חישובים!$D$21,((('הנחות עסקה'!$D$72*'הנחות עסקה'!$I$70)-30)/365),,((0.7*(ROUND('מודל כלכלי'!$C$59*(1+0.03)^8,-4)))+(((('הנחות עסקה'!$D$72*'הנחות עסקה'!$I$70)-30)/365)*חישובים!$D$23*(0.7*(ROUND('מודל כלכלי'!$C$59*(1+0.03)^8,-4)))*0.5))))+(-PV(חישובים!$D$21,(('הנחות עסקה'!$D$72*'הנחות עסקה'!$I$70)/365),,((0.1*(ROUND('מודל כלכלי'!$C$59*(1+0.03)^8,-4)))+((('הנחות עסקה'!$D$72*'הנחות עסקה'!$I$70)/365)*חישובים!$D$23*(0.1*(ROUND('מודל כלכלי'!$C$59*(1+0.03)^8,-4)))*0.5)))))+(-PV(חישובים!$D$21/12,(('הנחות עסקה'!$D$72*'הנחות עסקה'!$I$70)/365*12),(-FV('מודל כלכלי'!$C$20,(8+(('הנחות עסקה'!$D$71-'הנחות עסקה'!$D$72)*'הנחות עסקה'!$I$70)/365),,'מודל כלכלי'!$C$53)))))*היוון!$C$26)),ROUND('מודל כלכלי'!$C$59*(1+0.03)^8,-4)))*'מודל כלכלי'!$C$14-'מודל כלכלי'!$C$68*(IF('מודל כלכלי'!$C$26="פליפ",((-PV(חישובים!$D$21/12,(('הנחות עסקה'!$D$72*'הנחות עסקה'!$I$70)/365*12),(-FV('מודל כלכלי'!$C$20,(8+(('הנחות עסקה'!$D$71-'הנחות עסקה'!$D$72)*'הנחות עסקה'!$I$70)/365),,'מודל כלכלי'!$C$53))))+((0.07*(ROUND('מודל כלכלי'!$C$59*(1+0.03)^8,-4)))+(0.13*(ROUND('מודל כלכלי'!$C$59*(1+0.03)^8,-4)))+(-PV(חישובים!$D$21,((('הנחות עסקה'!$D$72*'הנחות עסקה'!$I$70)-30)/365),,((0.7*(ROUND('מודל כלכלי'!$C$59*(1+0.03)^8,-4)))+(((('הנחות עסקה'!$D$72*'הנחות עסקה'!$I$70)-30)/365)*חישובים!$D$23*(0.7*(ROUND('מודל כלכלי'!$C$59*(1+0.03)^8,-4)))*0.5))))+(-PV(חישובים!$D$21,(('הנחות עסקה'!$D$72*'הנחות עסקה'!$I$70)/365),,((0.1*(ROUND('מודל כלכלי'!$C$59*(1+0.03)^8,-4)))+((('הנחות עסקה'!$D$72*'הנחות עסקה'!$I$70)/365)*חישובים!$D$23*(0.1*(ROUND('מודל כלכלי'!$C$59*(1+0.03)^8,-4)))*0.5)))))+(-(((0.07*(ROUND('מודל כלכלי'!$C$59*(1+0.03)^8,-4)))+(0.13*(ROUND('מודל כלכלי'!$C$59*(1+0.03)^8,-4)))+(-PV(חישובים!$D$21,((('הנחות עסקה'!$D$72*'הנחות עסקה'!$I$70)-30)/365),,((0.7*(ROUND('מודל כלכלי'!$C$59*(1+0.03)^8,-4)))+(((('הנחות עסקה'!$D$72*'הנחות עסקה'!$I$70)-30)/365)*חישובים!$D$23*(0.7*(ROUND('מודל כלכלי'!$C$59*(1+0.03)^8,-4)))*0.5))))+(-PV(חישובים!$D$21,(('הנחות עסקה'!$D$72*'הנחות עסקה'!$I$70)/365),,((0.1*(ROUND('מודל כלכלי'!$C$59*(1+0.03)^8,-4)))+((('הנחות עסקה'!$D$72*'הנחות עסקה'!$I$70)/365)*חישובים!$D$23*(0.1*(ROUND('מודל כלכלי'!$C$59*(1+0.03)^8,-4)))*0.5)))))+(-PV(חישובים!$D$21/12,(('הנחות עסקה'!$D$72*'הנחות עסקה'!$I$70)/365*12),(-FV('מודל כלכלי'!$C$20,(8+(('הנחות עסקה'!$D$71-'הנחות עסקה'!$D$72)*'הנחות עסקה'!$I$70)/365),,'מודל כלכלי'!$C$53)))))*היוון!$C$26)),ROUND('מודל כלכלי'!$C$59*(1+0.03)^8,-4)))*'מודל כלכלי'!$C$14+'מודל כלכלי'!$C$70,-3))+(ROUND(-FV(חישובים!$D$22,8*12,'מודל כלכלי'!$C$55),-3))+(-'מודל כלכלי'!$C$45)+(-MAX(0,(IF('מודל כלכלי'!$C$26="פליפ",((-PV(חישובים!$D$21/12,(('הנחות עסקה'!$D$72*'הנחות עסקה'!$I$70)/365*12),(-FV('מודל כלכלי'!$C$20,(8+(('הנחות עסקה'!$D$71-'הנחות עסקה'!$D$72)*'הנחות עסקה'!$I$70)/365),,'מודל כלכלי'!$C$53))))+((0.07*(ROUND('מודל כלכלי'!$C$59*(1+0.03)^8,-4)))+(0.13*(ROUND('מודל כלכלי'!$C$59*(1+0.03)^8,-4)))+(-PV(חישובים!$D$21,((('הנחות עסקה'!$D$72*'הנחות עסקה'!$I$70)-30)/365),,((0.7*(ROUND('מודל כלכלי'!$C$59*(1+0.03)^8,-4)))+(((('הנחות עסקה'!$D$72*'הנחות עסקה'!$I$70)-30)/365)*חישובים!$D$23*(0.7*(ROUND('מודל כלכלי'!$C$59*(1+0.03)^8,-4)))*0.5))))+(-PV(חישובים!$D$21,(('הנחות עסקה'!$D$72*'הנחות עסקה'!$I$70)/365),,((0.1*(ROUND('מודל כלכלי'!$C$59*(1+0.03)^8,-4)))+((('הנחות עסקה'!$D$72*'הנחות עסקה'!$I$70)/365)*חישובים!$D$23*(0.1*(ROUND('מודל כלכלי'!$C$59*(1+0.03)^8,-4)))*0.5)))))+(-(((0.07*(ROUND('מודל כלכלי'!$C$59*(1+0.03)^8,-4)))+(0.13*(ROUND('מודל כלכלי'!$C$59*(1+0.03)^8,-4)))+(-PV(חישובים!$D$21,((('הנחות עסקה'!$D$72*'הנחות עסקה'!$I$70)-30)/365),,((0.7*(ROUND('מודל כלכלי'!$C$59*(1+0.03)^8,-4)))+(((('הנחות עסקה'!$D$72*'הנחות עסקה'!$I$70)-30)/365)*חישובים!$D$23*(0.7*(ROUND('מודל כלכלי'!$C$59*(1+0.03)^8,-4)))*0.5))))+(-PV(חישובים!$D$21,(('הנחות עסקה'!$D$72*'הנחות עסקה'!$I$70)/365),,((0.1*(ROUND('מודל כלכלי'!$C$59*(1+0.03)^8,-4)))+((('הנחות עסקה'!$D$72*'הנחות עסקה'!$I$70)/365)*חישובים!$D$23*(0.1*(ROUND('מודל כלכלי'!$C$59*(1+0.03)^8,-4)))*0.5)))))+(-PV(חישובים!$D$21/12,(('הנחות עסקה'!$D$72*'הנחות עסקה'!$I$70)/365*12),(-FV('מודל כלכלי'!$C$20,(8+(('הנחות עסקה'!$D$71-'הנחות עסקה'!$D$72)*'הנחות עסקה'!$I$70)/365),,'מודל כלכלי'!$C$53)))))*היוון!$C$26)),ROUND('מודל כלכלי'!$C$59*(1+0.03)^8,-4)))-(חישובים!$D$28*(1+חישובים!$D$29)^8))*0.25),-4)</f>
        <v>1610000</v>
      </c>
      <c r="F19" s="24">
        <f>ROUND((IF('מודל כלכלי'!$C$26="פליפ",((-PV(חישובים!$D$21/12,(('הנחות עסקה'!$D$72*'הנחות עסקה'!$I$70)/365*12),(-FV('מודל כלכלי'!$C$20,(9+(('הנחות עסקה'!$D$71-'הנחות עסקה'!$D$72)*'הנחות עסקה'!$I$70)/365),,'מודל כלכלי'!$C$53))))+((0.07*(ROUND('מודל כלכלי'!$C$59*(1+0.03)^9,-4)))+(0.13*(ROUND('מודל כלכלי'!$C$59*(1+0.03)^9,-4)))+(-PV(חישובים!$D$21,((('הנחות עסקה'!$D$72*'הנחות עסקה'!$I$70)-30)/365),,((0.7*(ROUND('מודל כלכלי'!$C$59*(1+0.03)^9,-4)))+(((('הנחות עסקה'!$D$72*'הנחות עסקה'!$I$70)-30)/365)*חישובים!$D$23*(0.7*(ROUND('מודל כלכלי'!$C$59*(1+0.03)^9,-4)))*0.5))))+(-PV(חישובים!$D$21,(('הנחות עסקה'!$D$72*'הנחות עסקה'!$I$70)/365),,((0.1*(ROUND('מודל כלכלי'!$C$59*(1+0.03)^9,-4)))+((('הנחות עסקה'!$D$72*'הנחות עסקה'!$I$70)/365)*חישובים!$D$23*(0.1*(ROUND('מודל כלכלי'!$C$59*(1+0.03)^9,-4)))*0.5)))))+(-(((0.07*(ROUND('מודל כלכלי'!$C$59*(1+0.03)^9,-4)))+(0.13*(ROUND('מודל כלכלי'!$C$59*(1+0.03)^9,-4)))+(-PV(חישובים!$D$21,((('הנחות עסקה'!$D$72*'הנחות עסקה'!$I$70)-30)/365),,((0.7*(ROUND('מודל כלכלי'!$C$59*(1+0.03)^9,-4)))+(((('הנחות עסקה'!$D$72*'הנחות עסקה'!$I$70)-30)/365)*חישובים!$D$23*(0.7*(ROUND('מודל כלכלי'!$C$59*(1+0.03)^9,-4)))*0.5))))+(-PV(חישובים!$D$21,(('הנחות עסקה'!$D$72*'הנחות עסקה'!$I$70)/365),,((0.1*(ROUND('מודל כלכלי'!$C$59*(1+0.03)^9,-4)))+((('הנחות עסקה'!$D$72*'הנחות עסקה'!$I$70)/365)*חישובים!$D$23*(0.1*(ROUND('מודל כלכלי'!$C$59*(1+0.03)^9,-4)))*0.5)))))+(-PV(חישובים!$D$21/12,(('הנחות עסקה'!$D$72*'הנחות עסקה'!$I$70)/365*12),(-FV('מודל כלכלי'!$C$20,(9+(('הנחות עסקה'!$D$71-'הנחות עסקה'!$D$72)*'הנחות עסקה'!$I$70)/365),,'מודל כלכלי'!$C$53)))))*היוון!$C$26)),ROUND('מודל כלכלי'!$C$59*(1+0.03)^9,-4)))+(ROUND(FV('מודל כלכלי'!$C$17/12,9*12,'מודל כלכלי'!$C$48,'מודל כלכלי'!$C$46),-4))+(ROUND(-'מודל כלכלי'!$C$66*(IF('מודל כלכלי'!$C$26="פליפ",((-PV(חישובים!$D$21/12,(('הנחות עסקה'!$D$72*'הנחות עסקה'!$I$70)/365*12),(-FV('מודל כלכלי'!$C$20,(9+(('הנחות עסקה'!$D$71-'הנחות עסקה'!$D$72)*'הנחות עסקה'!$I$70)/365),,'מודל כלכלי'!$C$53))))+((0.07*(ROUND('מודל כלכלי'!$C$59*(1+0.03)^9,-4)))+(0.13*(ROUND('מודל כלכלי'!$C$59*(1+0.03)^9,-4)))+(-PV(חישובים!$D$21,((('הנחות עסקה'!$D$72*'הנחות עסקה'!$I$70)-30)/365),,((0.7*(ROUND('מודל כלכלי'!$C$59*(1+0.03)^9,-4)))+(((('הנחות עסקה'!$D$72*'הנחות עסקה'!$I$70)-30)/365)*חישובים!$D$23*(0.7*(ROUND('מודל כלכלי'!$C$59*(1+0.03)^9,-4)))*0.5))))+(-PV(חישובים!$D$21,(('הנחות עסקה'!$D$72*'הנחות עסקה'!$I$70)/365),,((0.1*(ROUND('מודל כלכלי'!$C$59*(1+0.03)^9,-4)))+((('הנחות עסקה'!$D$72*'הנחות עסקה'!$I$70)/365)*חישובים!$D$23*(0.1*(ROUND('מודל כלכלי'!$C$59*(1+0.03)^9,-4)))*0.5)))))+(-(((0.07*(ROUND('מודל כלכלי'!$C$59*(1+0.03)^9,-4)))+(0.13*(ROUND('מודל כלכלי'!$C$59*(1+0.03)^9,-4)))+(-PV(חישובים!$D$21,((('הנחות עסקה'!$D$72*'הנחות עסקה'!$I$70)-30)/365),,((0.7*(ROUND('מודל כלכלי'!$C$59*(1+0.03)^9,-4)))+(((('הנחות עסקה'!$D$72*'הנחות עסקה'!$I$70)-30)/365)*חישובים!$D$23*(0.7*(ROUND('מודל כלכלי'!$C$59*(1+0.03)^9,-4)))*0.5))))+(-PV(חישובים!$D$21,(('הנחות עסקה'!$D$72*'הנחות עסקה'!$I$70)/365),,((0.1*(ROUND('מודל כלכלי'!$C$59*(1+0.03)^9,-4)))+((('הנחות עסקה'!$D$72*'הנחות עסקה'!$I$70)/365)*חישובים!$D$23*(0.1*(ROUND('מודל כלכלי'!$C$59*(1+0.03)^9,-4)))*0.5)))))+(-PV(חישובים!$D$21/12,(('הנחות עסקה'!$D$72*'הנחות עסקה'!$I$70)/365*12),(-FV('מודל כלכלי'!$C$20,(9+(('הנחות עסקה'!$D$71-'הנחות עסקה'!$D$72)*'הנחות עסקה'!$I$70)/365),,'מודל כלכלי'!$C$53)))))*היוון!$C$26)),ROUND('מודל כלכלי'!$C$59*(1+0.03)^9,-4)))*'מודל כלכלי'!$C$14-'מודל כלכלי'!$C$68*(IF('מודל כלכלי'!$C$26="פליפ",((-PV(חישובים!$D$21/12,(('הנחות עסקה'!$D$72*'הנחות עסקה'!$I$70)/365*12),(-FV('מודל כלכלי'!$C$20,(9+(('הנחות עסקה'!$D$71-'הנחות עסקה'!$D$72)*'הנחות עסקה'!$I$70)/365),,'מודל כלכלי'!$C$53))))+((0.07*(ROUND('מודל כלכלי'!$C$59*(1+0.03)^9,-4)))+(0.13*(ROUND('מודל כלכלי'!$C$59*(1+0.03)^9,-4)))+(-PV(חישובים!$D$21,((('הנחות עסקה'!$D$72*'הנחות עסקה'!$I$70)-30)/365),,((0.7*(ROUND('מודל כלכלי'!$C$59*(1+0.03)^9,-4)))+(((('הנחות עסקה'!$D$72*'הנחות עסקה'!$I$70)-30)/365)*חישובים!$D$23*(0.7*(ROUND('מודל כלכלי'!$C$59*(1+0.03)^9,-4)))*0.5))))+(-PV(חישובים!$D$21,(('הנחות עסקה'!$D$72*'הנחות עסקה'!$I$70)/365),,((0.1*(ROUND('מודל כלכלי'!$C$59*(1+0.03)^9,-4)))+((('הנחות עסקה'!$D$72*'הנחות עסקה'!$I$70)/365)*חישובים!$D$23*(0.1*(ROUND('מודל כלכלי'!$C$59*(1+0.03)^9,-4)))*0.5)))))+(-(((0.07*(ROUND('מודל כלכלי'!$C$59*(1+0.03)^9,-4)))+(0.13*(ROUND('מודל כלכלי'!$C$59*(1+0.03)^9,-4)))+(-PV(חישובים!$D$21,((('הנחות עסקה'!$D$72*'הנחות עסקה'!$I$70)-30)/365),,((0.7*(ROUND('מודל כלכלי'!$C$59*(1+0.03)^9,-4)))+(((('הנחות עסקה'!$D$72*'הנחות עסקה'!$I$70)-30)/365)*חישובים!$D$23*(0.7*(ROUND('מודל כלכלי'!$C$59*(1+0.03)^9,-4)))*0.5))))+(-PV(חישובים!$D$21,(('הנחות עסקה'!$D$72*'הנחות עסקה'!$I$70)/365),,((0.1*(ROUND('מודל כלכלי'!$C$59*(1+0.03)^9,-4)))+((('הנחות עסקה'!$D$72*'הנחות עסקה'!$I$70)/365)*חישובים!$D$23*(0.1*(ROUND('מודל כלכלי'!$C$59*(1+0.03)^9,-4)))*0.5)))))+(-PV(חישובים!$D$21/12,(('הנחות עסקה'!$D$72*'הנחות עסקה'!$I$70)/365*12),(-FV('מודל כלכלי'!$C$20,(9+(('הנחות עסקה'!$D$71-'הנחות עסקה'!$D$72)*'הנחות עסקה'!$I$70)/365),,'מודל כלכלי'!$C$53)))))*היוון!$C$26)),ROUND('מודל כלכלי'!$C$59*(1+0.03)^9,-4)))*'מודל כלכלי'!$C$14+'מודל כלכלי'!$C$70,-3))+(ROUND(-FV(חישובים!$D$22,9*12,'מודל כלכלי'!$C$55),-3))+(-'מודל כלכלי'!$C$45)+(-MAX(0,(IF('מודל כלכלי'!$C$26="פליפ",((-PV(חישובים!$D$21/12,(('הנחות עסקה'!$D$72*'הנחות עסקה'!$I$70)/365*12),(-FV('מודל כלכלי'!$C$20,(9+(('הנחות עסקה'!$D$71-'הנחות עסקה'!$D$72)*'הנחות עסקה'!$I$70)/365),,'מודל כלכלי'!$C$53))))+((0.07*(ROUND('מודל כלכלי'!$C$59*(1+0.03)^9,-4)))+(0.13*(ROUND('מודל כלכלי'!$C$59*(1+0.03)^9,-4)))+(-PV(חישובים!$D$21,((('הנחות עסקה'!$D$72*'הנחות עסקה'!$I$70)-30)/365),,((0.7*(ROUND('מודל כלכלי'!$C$59*(1+0.03)^9,-4)))+(((('הנחות עסקה'!$D$72*'הנחות עסקה'!$I$70)-30)/365)*חישובים!$D$23*(0.7*(ROUND('מודל כלכלי'!$C$59*(1+0.03)^9,-4)))*0.5))))+(-PV(חישובים!$D$21,(('הנחות עסקה'!$D$72*'הנחות עסקה'!$I$70)/365),,((0.1*(ROUND('מודל כלכלי'!$C$59*(1+0.03)^9,-4)))+((('הנחות עסקה'!$D$72*'הנחות עסקה'!$I$70)/365)*חישובים!$D$23*(0.1*(ROUND('מודל כלכלי'!$C$59*(1+0.03)^9,-4)))*0.5)))))+(-(((0.07*(ROUND('מודל כלכלי'!$C$59*(1+0.03)^9,-4)))+(0.13*(ROUND('מודל כלכלי'!$C$59*(1+0.03)^9,-4)))+(-PV(חישובים!$D$21,((('הנחות עסקה'!$D$72*'הנחות עסקה'!$I$70)-30)/365),,((0.7*(ROUND('מודל כלכלי'!$C$59*(1+0.03)^9,-4)))+(((('הנחות עסקה'!$D$72*'הנחות עסקה'!$I$70)-30)/365)*חישובים!$D$23*(0.7*(ROUND('מודל כלכלי'!$C$59*(1+0.03)^9,-4)))*0.5))))+(-PV(חישובים!$D$21,(('הנחות עסקה'!$D$72*'הנחות עסקה'!$I$70)/365),,((0.1*(ROUND('מודל כלכלי'!$C$59*(1+0.03)^9,-4)))+((('הנחות עסקה'!$D$72*'הנחות עסקה'!$I$70)/365)*חישובים!$D$23*(0.1*(ROUND('מודל כלכלי'!$C$59*(1+0.03)^9,-4)))*0.5)))))+(-PV(חישובים!$D$21/12,(('הנחות עסקה'!$D$72*'הנחות עסקה'!$I$70)/365*12),(-FV('מודל כלכלי'!$C$20,(9+(('הנחות עסקה'!$D$71-'הנחות עסקה'!$D$72)*'הנחות עסקה'!$I$70)/365),,'מודל כלכלי'!$C$53)))))*היוון!$C$26)),ROUND('מודל כלכלי'!$C$59*(1+0.03)^9,-4)))-(חישובים!$D$28*(1+חישובים!$D$29)^9))*0.25),-4)</f>
        <v>1710000</v>
      </c>
      <c r="G19" s="24">
        <f>ROUND((IF('מודל כלכלי'!$C$26="פליפ",((-PV(חישובים!$D$21/12,(('הנחות עסקה'!$D$72*'הנחות עסקה'!$I$70)/365*12),(-FV('מודל כלכלי'!$C$20,(10+(('הנחות עסקה'!$D$71-'הנחות עסקה'!$D$72)*'הנחות עסקה'!$I$70)/365),,'מודל כלכלי'!$C$53))))+((0.07*(ROUND('מודל כלכלי'!$C$59*(1+0.03)^10,-4)))+(0.13*(ROUND('מודל כלכלי'!$C$59*(1+0.03)^10,-4)))+(-PV(חישובים!$D$21,((('הנחות עסקה'!$D$72*'הנחות עסקה'!$I$70)-30)/365),,((0.7*(ROUND('מודל כלכלי'!$C$59*(1+0.03)^10,-4)))+(((('הנחות עסקה'!$D$72*'הנחות עסקה'!$I$70)-30)/365)*חישובים!$D$23*(0.7*(ROUND('מודל כלכלי'!$C$59*(1+0.03)^10,-4)))*0.5))))+(-PV(חישובים!$D$21,(('הנחות עסקה'!$D$72*'הנחות עסקה'!$I$70)/365),,((0.1*(ROUND('מודל כלכלי'!$C$59*(1+0.03)^10,-4)))+((('הנחות עסקה'!$D$72*'הנחות עסקה'!$I$70)/365)*חישובים!$D$23*(0.1*(ROUND('מודל כלכלי'!$C$59*(1+0.03)^10,-4)))*0.5)))))+(-(((0.07*(ROUND('מודל כלכלי'!$C$59*(1+0.03)^10,-4)))+(0.13*(ROUND('מודל כלכלי'!$C$59*(1+0.03)^10,-4)))+(-PV(חישובים!$D$21,((('הנחות עסקה'!$D$72*'הנחות עסקה'!$I$70)-30)/365),,((0.7*(ROUND('מודל כלכלי'!$C$59*(1+0.03)^10,-4)))+(((('הנחות עסקה'!$D$72*'הנחות עסקה'!$I$70)-30)/365)*חישובים!$D$23*(0.7*(ROUND('מודל כלכלי'!$C$59*(1+0.03)^10,-4)))*0.5))))+(-PV(חישובים!$D$21,(('הנחות עסקה'!$D$72*'הנחות עסקה'!$I$70)/365),,((0.1*(ROUND('מודל כלכלי'!$C$59*(1+0.03)^10,-4)))+((('הנחות עסקה'!$D$72*'הנחות עסקה'!$I$70)/365)*חישובים!$D$23*(0.1*(ROUND('מודל כלכלי'!$C$59*(1+0.03)^10,-4)))*0.5)))))+(-PV(חישובים!$D$21/12,(('הנחות עסקה'!$D$72*'הנחות עסקה'!$I$70)/365*12),(-FV('מודל כלכלי'!$C$20,(10+(('הנחות עסקה'!$D$71-'הנחות עסקה'!$D$72)*'הנחות עסקה'!$I$70)/365),,'מודל כלכלי'!$C$53)))))*היוון!$C$26)),ROUND('מודל כלכלי'!$C$59*(1+0.03)^10,-4)))+(ROUND(FV('מודל כלכלי'!$C$17/12,10*12,'מודל כלכלי'!$C$48,'מודל כלכלי'!$C$46),-4))+(ROUND(-'מודל כלכלי'!$C$66*(IF('מודל כלכלי'!$C$26="פליפ",((-PV(חישובים!$D$21/12,(('הנחות עסקה'!$D$72*'הנחות עסקה'!$I$70)/365*12),(-FV('מודל כלכלי'!$C$20,(10+(('הנחות עסקה'!$D$71-'הנחות עסקה'!$D$72)*'הנחות עסקה'!$I$70)/365),,'מודל כלכלי'!$C$53))))+((0.07*(ROUND('מודל כלכלי'!$C$59*(1+0.03)^10,-4)))+(0.13*(ROUND('מודל כלכלי'!$C$59*(1+0.03)^10,-4)))+(-PV(חישובים!$D$21,((('הנחות עסקה'!$D$72*'הנחות עסקה'!$I$70)-30)/365),,((0.7*(ROUND('מודל כלכלי'!$C$59*(1+0.03)^10,-4)))+(((('הנחות עסקה'!$D$72*'הנחות עסקה'!$I$70)-30)/365)*חישובים!$D$23*(0.7*(ROUND('מודל כלכלי'!$C$59*(1+0.03)^10,-4)))*0.5))))+(-PV(חישובים!$D$21,(('הנחות עסקה'!$D$72*'הנחות עסקה'!$I$70)/365),,((0.1*(ROUND('מודל כלכלי'!$C$59*(1+0.03)^10,-4)))+((('הנחות עסקה'!$D$72*'הנחות עסקה'!$I$70)/365)*חישובים!$D$23*(0.1*(ROUND('מודל כלכלי'!$C$59*(1+0.03)^10,-4)))*0.5)))))+(-(((0.07*(ROUND('מודל כלכלי'!$C$59*(1+0.03)^10,-4)))+(0.13*(ROUND('מודל כלכלי'!$C$59*(1+0.03)^10,-4)))+(-PV(חישובים!$D$21,((('הנחות עסקה'!$D$72*'הנחות עסקה'!$I$70)-30)/365),,((0.7*(ROUND('מודל כלכלי'!$C$59*(1+0.03)^10,-4)))+(((('הנחות עסקה'!$D$72*'הנחות עסקה'!$I$70)-30)/365)*חישובים!$D$23*(0.7*(ROUND('מודל כלכלי'!$C$59*(1+0.03)^10,-4)))*0.5))))+(-PV(חישובים!$D$21,(('הנחות עסקה'!$D$72*'הנחות עסקה'!$I$70)/365),,((0.1*(ROUND('מודל כלכלי'!$C$59*(1+0.03)^10,-4)))+((('הנחות עסקה'!$D$72*'הנחות עסקה'!$I$70)/365)*חישובים!$D$23*(0.1*(ROUND('מודל כלכלי'!$C$59*(1+0.03)^10,-4)))*0.5)))))+(-PV(חישובים!$D$21/12,(('הנחות עסקה'!$D$72*'הנחות עסקה'!$I$70)/365*12),(-FV('מודל כלכלי'!$C$20,(10+(('הנחות עסקה'!$D$71-'הנחות עסקה'!$D$72)*'הנחות עסקה'!$I$70)/365),,'מודל כלכלי'!$C$53)))))*היוון!$C$26)),ROUND('מודל כלכלי'!$C$59*(1+0.03)^10,-4)))*'מודל כלכלי'!$C$14-'מודל כלכלי'!$C$68*(IF('מודל כלכלי'!$C$26="פליפ",((-PV(חישובים!$D$21/12,(('הנחות עסקה'!$D$72*'הנחות עסקה'!$I$70)/365*12),(-FV('מודל כלכלי'!$C$20,(10+(('הנחות עסקה'!$D$71-'הנחות עסקה'!$D$72)*'הנחות עסקה'!$I$70)/365),,'מודל כלכלי'!$C$53))))+((0.07*(ROUND('מודל כלכלי'!$C$59*(1+0.03)^10,-4)))+(0.13*(ROUND('מודל כלכלי'!$C$59*(1+0.03)^10,-4)))+(-PV(חישובים!$D$21,((('הנחות עסקה'!$D$72*'הנחות עסקה'!$I$70)-30)/365),,((0.7*(ROUND('מודל כלכלי'!$C$59*(1+0.03)^10,-4)))+(((('הנחות עסקה'!$D$72*'הנחות עסקה'!$I$70)-30)/365)*חישובים!$D$23*(0.7*(ROUND('מודל כלכלי'!$C$59*(1+0.03)^10,-4)))*0.5))))+(-PV(חישובים!$D$21,(('הנחות עסקה'!$D$72*'הנחות עסקה'!$I$70)/365),,((0.1*(ROUND('מודל כלכלי'!$C$59*(1+0.03)^10,-4)))+((('הנחות עסקה'!$D$72*'הנחות עסקה'!$I$70)/365)*חישובים!$D$23*(0.1*(ROUND('מודל כלכלי'!$C$59*(1+0.03)^10,-4)))*0.5)))))+(-(((0.07*(ROUND('מודל כלכלי'!$C$59*(1+0.03)^10,-4)))+(0.13*(ROUND('מודל כלכלי'!$C$59*(1+0.03)^10,-4)))+(-PV(חישובים!$D$21,((('הנחות עסקה'!$D$72*'הנחות עסקה'!$I$70)-30)/365),,((0.7*(ROUND('מודל כלכלי'!$C$59*(1+0.03)^10,-4)))+(((('הנחות עסקה'!$D$72*'הנחות עסקה'!$I$70)-30)/365)*חישובים!$D$23*(0.7*(ROUND('מודל כלכלי'!$C$59*(1+0.03)^10,-4)))*0.5))))+(-PV(חישובים!$D$21,(('הנחות עסקה'!$D$72*'הנחות עסקה'!$I$70)/365),,((0.1*(ROUND('מודל כלכלי'!$C$59*(1+0.03)^10,-4)))+((('הנחות עסקה'!$D$72*'הנחות עסקה'!$I$70)/365)*חישובים!$D$23*(0.1*(ROUND('מודל כלכלי'!$C$59*(1+0.03)^10,-4)))*0.5)))))+(-PV(חישובים!$D$21/12,(('הנחות עסקה'!$D$72*'הנחות עסקה'!$I$70)/365*12),(-FV('מודל כלכלי'!$C$20,(10+(('הנחות עסקה'!$D$71-'הנחות עסקה'!$D$72)*'הנחות עסקה'!$I$70)/365),,'מודל כלכלי'!$C$53)))))*היוון!$C$26)),ROUND('מודל כלכלי'!$C$59*(1+0.03)^10,-4)))*'מודל כלכלי'!$C$14+'מודל כלכלי'!$C$70,-3))+(ROUND(-FV(חישובים!$D$22,10*12,'מודל כלכלי'!$C$55),-3))+(-'מודל כלכלי'!$C$45)+(-MAX(0,(IF('מודל כלכלי'!$C$26="פליפ",((-PV(חישובים!$D$21/12,(('הנחות עסקה'!$D$72*'הנחות עסקה'!$I$70)/365*12),(-FV('מודל כלכלי'!$C$20,(10+(('הנחות עסקה'!$D$71-'הנחות עסקה'!$D$72)*'הנחות עסקה'!$I$70)/365),,'מודל כלכלי'!$C$53))))+((0.07*(ROUND('מודל כלכלי'!$C$59*(1+0.03)^10,-4)))+(0.13*(ROUND('מודל כלכלי'!$C$59*(1+0.03)^10,-4)))+(-PV(חישובים!$D$21,((('הנחות עסקה'!$D$72*'הנחות עסקה'!$I$70)-30)/365),,((0.7*(ROUND('מודל כלכלי'!$C$59*(1+0.03)^10,-4)))+(((('הנחות עסקה'!$D$72*'הנחות עסקה'!$I$70)-30)/365)*חישובים!$D$23*(0.7*(ROUND('מודל כלכלי'!$C$59*(1+0.03)^10,-4)))*0.5))))+(-PV(חישובים!$D$21,(('הנחות עסקה'!$D$72*'הנחות עסקה'!$I$70)/365),,((0.1*(ROUND('מודל כלכלי'!$C$59*(1+0.03)^10,-4)))+((('הנחות עסקה'!$D$72*'הנחות עסקה'!$I$70)/365)*חישובים!$D$23*(0.1*(ROUND('מודל כלכלי'!$C$59*(1+0.03)^10,-4)))*0.5)))))+(-(((0.07*(ROUND('מודל כלכלי'!$C$59*(1+0.03)^10,-4)))+(0.13*(ROUND('מודל כלכלי'!$C$59*(1+0.03)^10,-4)))+(-PV(חישובים!$D$21,((('הנחות עסקה'!$D$72*'הנחות עסקה'!$I$70)-30)/365),,((0.7*(ROUND('מודל כלכלי'!$C$59*(1+0.03)^10,-4)))+(((('הנחות עסקה'!$D$72*'הנחות עסקה'!$I$70)-30)/365)*חישובים!$D$23*(0.7*(ROUND('מודל כלכלי'!$C$59*(1+0.03)^10,-4)))*0.5))))+(-PV(חישובים!$D$21,(('הנחות עסקה'!$D$72*'הנחות עסקה'!$I$70)/365),,((0.1*(ROUND('מודל כלכלי'!$C$59*(1+0.03)^10,-4)))+((('הנחות עסקה'!$D$72*'הנחות עסקה'!$I$70)/365)*חישובים!$D$23*(0.1*(ROUND('מודל כלכלי'!$C$59*(1+0.03)^10,-4)))*0.5)))))+(-PV(חישובים!$D$21/12,(('הנחות עסקה'!$D$72*'הנחות עסקה'!$I$70)/365*12),(-FV('מודל כלכלי'!$C$20,(10+(('הנחות עסקה'!$D$71-'הנחות עסקה'!$D$72)*'הנחות עסקה'!$I$70)/365),,'מודל כלכלי'!$C$53)))))*היוון!$C$26)),ROUND('מודל כלכלי'!$C$59*(1+0.03)^10,-4)))-(חישובים!$D$28*(1+חישובים!$D$29)^10))*0.25),-4)</f>
        <v>1810000</v>
      </c>
      <c r="H19" s="24">
        <f>ROUND((IF('מודל כלכלי'!$C$26="פליפ",((-PV(חישובים!$D$21/12,(('הנחות עסקה'!$D$72*'הנחות עסקה'!$I$70)/365*12),(-FV('מודל כלכלי'!$C$20,(11+(('הנחות עסקה'!$D$71-'הנחות עסקה'!$D$72)*'הנחות עסקה'!$I$70)/365),,'מודל כלכלי'!$C$53))))+((0.07*(ROUND('מודל כלכלי'!$C$59*(1+0.03)^11,-4)))+(0.13*(ROUND('מודל כלכלי'!$C$59*(1+0.03)^11,-4)))+(-PV(חישובים!$D$21,((('הנחות עסקה'!$D$72*'הנחות עסקה'!$I$70)-30)/365),,((0.7*(ROUND('מודל כלכלי'!$C$59*(1+0.03)^11,-4)))+(((('הנחות עסקה'!$D$72*'הנחות עסקה'!$I$70)-30)/365)*חישובים!$D$23*(0.7*(ROUND('מודל כלכלי'!$C$59*(1+0.03)^11,-4)))*0.5))))+(-PV(חישובים!$D$21,(('הנחות עסקה'!$D$72*'הנחות עסקה'!$I$70)/365),,((0.1*(ROUND('מודל כלכלי'!$C$59*(1+0.03)^11,-4)))+((('הנחות עסקה'!$D$72*'הנחות עסקה'!$I$70)/365)*חישובים!$D$23*(0.1*(ROUND('מודל כלכלי'!$C$59*(1+0.03)^11,-4)))*0.5)))))+(-(((0.07*(ROUND('מודל כלכלי'!$C$59*(1+0.03)^11,-4)))+(0.13*(ROUND('מודל כלכלי'!$C$59*(1+0.03)^11,-4)))+(-PV(חישובים!$D$21,((('הנחות עסקה'!$D$72*'הנחות עסקה'!$I$70)-30)/365),,((0.7*(ROUND('מודל כלכלי'!$C$59*(1+0.03)^11,-4)))+(((('הנחות עסקה'!$D$72*'הנחות עסקה'!$I$70)-30)/365)*חישובים!$D$23*(0.7*(ROUND('מודל כלכלי'!$C$59*(1+0.03)^11,-4)))*0.5))))+(-PV(חישובים!$D$21,(('הנחות עסקה'!$D$72*'הנחות עסקה'!$I$70)/365),,((0.1*(ROUND('מודל כלכלי'!$C$59*(1+0.03)^11,-4)))+((('הנחות עסקה'!$D$72*'הנחות עסקה'!$I$70)/365)*חישובים!$D$23*(0.1*(ROUND('מודל כלכלי'!$C$59*(1+0.03)^11,-4)))*0.5)))))+(-PV(חישובים!$D$21/12,(('הנחות עסקה'!$D$72*'הנחות עסקה'!$I$70)/365*12),(-FV('מודל כלכלי'!$C$20,(11+(('הנחות עסקה'!$D$71-'הנחות עסקה'!$D$72)*'הנחות עסקה'!$I$70)/365),,'מודל כלכלי'!$C$53)))))*היוון!$C$26)),ROUND('מודל כלכלי'!$C$59*(1+0.03)^11,-4)))+(ROUND(FV('מודל כלכלי'!$C$17/12,11*12,'מודל כלכלי'!$C$48,'מודל כלכלי'!$C$46),-4))+(ROUND(-'מודל כלכלי'!$C$66*(IF('מודל כלכלי'!$C$26="פליפ",((-PV(חישובים!$D$21/12,(('הנחות עסקה'!$D$72*'הנחות עסקה'!$I$70)/365*12),(-FV('מודל כלכלי'!$C$20,(11+(('הנחות עסקה'!$D$71-'הנחות עסקה'!$D$72)*'הנחות עסקה'!$I$70)/365),,'מודל כלכלי'!$C$53))))+((0.07*(ROUND('מודל כלכלי'!$C$59*(1+0.03)^11,-4)))+(0.13*(ROUND('מודל כלכלי'!$C$59*(1+0.03)^11,-4)))+(-PV(חישובים!$D$21,((('הנחות עסקה'!$D$72*'הנחות עסקה'!$I$70)-30)/365),,((0.7*(ROUND('מודל כלכלי'!$C$59*(1+0.03)^11,-4)))+(((('הנחות עסקה'!$D$72*'הנחות עסקה'!$I$70)-30)/365)*חישובים!$D$23*(0.7*(ROUND('מודל כלכלי'!$C$59*(1+0.03)^11,-4)))*0.5))))+(-PV(חישובים!$D$21,(('הנחות עסקה'!$D$72*'הנחות עסקה'!$I$70)/365),,((0.1*(ROUND('מודל כלכלי'!$C$59*(1+0.03)^11,-4)))+((('הנחות עסקה'!$D$72*'הנחות עסקה'!$I$70)/365)*חישובים!$D$23*(0.1*(ROUND('מודל כלכלי'!$C$59*(1+0.03)^11,-4)))*0.5)))))+(-(((0.07*(ROUND('מודל כלכלי'!$C$59*(1+0.03)^11,-4)))+(0.13*(ROUND('מודל כלכלי'!$C$59*(1+0.03)^11,-4)))+(-PV(חישובים!$D$21,((('הנחות עסקה'!$D$72*'הנחות עסקה'!$I$70)-30)/365),,((0.7*(ROUND('מודל כלכלי'!$C$59*(1+0.03)^11,-4)))+(((('הנחות עסקה'!$D$72*'הנחות עסקה'!$I$70)-30)/365)*חישובים!$D$23*(0.7*(ROUND('מודל כלכלי'!$C$59*(1+0.03)^11,-4)))*0.5))))+(-PV(חישובים!$D$21,(('הנחות עסקה'!$D$72*'הנחות עסקה'!$I$70)/365),,((0.1*(ROUND('מודל כלכלי'!$C$59*(1+0.03)^11,-4)))+((('הנחות עסקה'!$D$72*'הנחות עסקה'!$I$70)/365)*חישובים!$D$23*(0.1*(ROUND('מודל כלכלי'!$C$59*(1+0.03)^11,-4)))*0.5)))))+(-PV(חישובים!$D$21/12,(('הנחות עסקה'!$D$72*'הנחות עסקה'!$I$70)/365*12),(-FV('מודל כלכלי'!$C$20,(11+(('הנחות עסקה'!$D$71-'הנחות עסקה'!$D$72)*'הנחות עסקה'!$I$70)/365),,'מודל כלכלי'!$C$53)))))*היוון!$C$26)),ROUND('מודל כלכלי'!$C$59*(1+0.03)^11,-4)))*'מודל כלכלי'!$C$14-'מודל כלכלי'!$C$68*(IF('מודל כלכלי'!$C$26="פליפ",((-PV(חישובים!$D$21/12,(('הנחות עסקה'!$D$72*'הנחות עסקה'!$I$70)/365*12),(-FV('מודל כלכלי'!$C$20,(11+(('הנחות עסקה'!$D$71-'הנחות עסקה'!$D$72)*'הנחות עסקה'!$I$70)/365),,'מודל כלכלי'!$C$53))))+((0.07*(ROUND('מודל כלכלי'!$C$59*(1+0.03)^11,-4)))+(0.13*(ROUND('מודל כלכלי'!$C$59*(1+0.03)^11,-4)))+(-PV(חישובים!$D$21,((('הנחות עסקה'!$D$72*'הנחות עסקה'!$I$70)-30)/365),,((0.7*(ROUND('מודל כלכלי'!$C$59*(1+0.03)^11,-4)))+(((('הנחות עסקה'!$D$72*'הנחות עסקה'!$I$70)-30)/365)*חישובים!$D$23*(0.7*(ROUND('מודל כלכלי'!$C$59*(1+0.03)^11,-4)))*0.5))))+(-PV(חישובים!$D$21,(('הנחות עסקה'!$D$72*'הנחות עסקה'!$I$70)/365),,((0.1*(ROUND('מודל כלכלי'!$C$59*(1+0.03)^11,-4)))+((('הנחות עסקה'!$D$72*'הנחות עסקה'!$I$70)/365)*חישובים!$D$23*(0.1*(ROUND('מודל כלכלי'!$C$59*(1+0.03)^11,-4)))*0.5)))))+(-(((0.07*(ROUND('מודל כלכלי'!$C$59*(1+0.03)^11,-4)))+(0.13*(ROUND('מודל כלכלי'!$C$59*(1+0.03)^11,-4)))+(-PV(חישובים!$D$21,((('הנחות עסקה'!$D$72*'הנחות עסקה'!$I$70)-30)/365),,((0.7*(ROUND('מודל כלכלי'!$C$59*(1+0.03)^11,-4)))+(((('הנחות עסקה'!$D$72*'הנחות עסקה'!$I$70)-30)/365)*חישובים!$D$23*(0.7*(ROUND('מודל כלכלי'!$C$59*(1+0.03)^11,-4)))*0.5))))+(-PV(חישובים!$D$21,(('הנחות עסקה'!$D$72*'הנחות עסקה'!$I$70)/365),,((0.1*(ROUND('מודל כלכלי'!$C$59*(1+0.03)^11,-4)))+((('הנחות עסקה'!$D$72*'הנחות עסקה'!$I$70)/365)*חישובים!$D$23*(0.1*(ROUND('מודל כלכלי'!$C$59*(1+0.03)^11,-4)))*0.5)))))+(-PV(חישובים!$D$21/12,(('הנחות עסקה'!$D$72*'הנחות עסקה'!$I$70)/365*12),(-FV('מודל כלכלי'!$C$20,(11+(('הנחות עסקה'!$D$71-'הנחות עסקה'!$D$72)*'הנחות עסקה'!$I$70)/365),,'מודל כלכלי'!$C$53)))))*היוון!$C$26)),ROUND('מודל כלכלי'!$C$59*(1+0.03)^11,-4)))*'מודל כלכלי'!$C$14+'מודל כלכלי'!$C$70,-3))+(ROUND(-FV(חישובים!$D$22,11*12,'מודל כלכלי'!$C$55),-3))+(-'מודל כלכלי'!$C$45)+(-MAX(0,(IF('מודל כלכלי'!$C$26="פליפ",((-PV(חישובים!$D$21/12,(('הנחות עסקה'!$D$72*'הנחות עסקה'!$I$70)/365*12),(-FV('מודל כלכלי'!$C$20,(11+(('הנחות עסקה'!$D$71-'הנחות עסקה'!$D$72)*'הנחות עסקה'!$I$70)/365),,'מודל כלכלי'!$C$53))))+((0.07*(ROUND('מודל כלכלי'!$C$59*(1+0.03)^11,-4)))+(0.13*(ROUND('מודל כלכלי'!$C$59*(1+0.03)^11,-4)))+(-PV(חישובים!$D$21,((('הנחות עסקה'!$D$72*'הנחות עסקה'!$I$70)-30)/365),,((0.7*(ROUND('מודל כלכלי'!$C$59*(1+0.03)^11,-4)))+(((('הנחות עסקה'!$D$72*'הנחות עסקה'!$I$70)-30)/365)*חישובים!$D$23*(0.7*(ROUND('מודל כלכלי'!$C$59*(1+0.03)^11,-4)))*0.5))))+(-PV(חישובים!$D$21,(('הנחות עסקה'!$D$72*'הנחות עסקה'!$I$70)/365),,((0.1*(ROUND('מודל כלכלי'!$C$59*(1+0.03)^11,-4)))+((('הנחות עסקה'!$D$72*'הנחות עסקה'!$I$70)/365)*חישובים!$D$23*(0.1*(ROUND('מודל כלכלי'!$C$59*(1+0.03)^11,-4)))*0.5)))))+(-(((0.07*(ROUND('מודל כלכלי'!$C$59*(1+0.03)^11,-4)))+(0.13*(ROUND('מודל כלכלי'!$C$59*(1+0.03)^11,-4)))+(-PV(חישובים!$D$21,((('הנחות עסקה'!$D$72*'הנחות עסקה'!$I$70)-30)/365),,((0.7*(ROUND('מודל כלכלי'!$C$59*(1+0.03)^11,-4)))+(((('הנחות עסקה'!$D$72*'הנחות עסקה'!$I$70)-30)/365)*חישובים!$D$23*(0.7*(ROUND('מודל כלכלי'!$C$59*(1+0.03)^11,-4)))*0.5))))+(-PV(חישובים!$D$21,(('הנחות עסקה'!$D$72*'הנחות עסקה'!$I$70)/365),,((0.1*(ROUND('מודל כלכלי'!$C$59*(1+0.03)^11,-4)))+((('הנחות עסקה'!$D$72*'הנחות עסקה'!$I$70)/365)*חישובים!$D$23*(0.1*(ROUND('מודל כלכלי'!$C$59*(1+0.03)^11,-4)))*0.5)))))+(-PV(חישובים!$D$21/12,(('הנחות עסקה'!$D$72*'הנחות עסקה'!$I$70)/365*12),(-FV('מודל כלכלי'!$C$20,(11+(('הנחות עסקה'!$D$71-'הנחות עסקה'!$D$72)*'הנחות עסקה'!$I$70)/365),,'מודל כלכלי'!$C$53)))))*היוון!$C$26)),ROUND('מודל כלכלי'!$C$59*(1+0.03)^11,-4)))-(חישובים!$D$28*(1+חישובים!$D$29)^11))*0.25),-4)</f>
        <v>1910000</v>
      </c>
      <c r="I19" s="24">
        <f>ROUND((IF('מודל כלכלי'!$C$26="פליפ",((-PV(חישובים!$D$21/12,(('הנחות עסקה'!$D$72*'הנחות עסקה'!$I$70)/365*12),(-FV('מודל כלכלי'!$C$20,(12+(('הנחות עסקה'!$D$71-'הנחות עסקה'!$D$72)*'הנחות עסקה'!$I$70)/365),,'מודל כלכלי'!$C$53))))+((0.07*(ROUND('מודל כלכלי'!$C$59*(1+0.03)^12,-4)))+(0.13*(ROUND('מודל כלכלי'!$C$59*(1+0.03)^12,-4)))+(-PV(חישובים!$D$21,((('הנחות עסקה'!$D$72*'הנחות עסקה'!$I$70)-30)/365),,((0.7*(ROUND('מודל כלכלי'!$C$59*(1+0.03)^12,-4)))+(((('הנחות עסקה'!$D$72*'הנחות עסקה'!$I$70)-30)/365)*חישובים!$D$23*(0.7*(ROUND('מודל כלכלי'!$C$59*(1+0.03)^12,-4)))*0.5))))+(-PV(חישובים!$D$21,(('הנחות עסקה'!$D$72*'הנחות עסקה'!$I$70)/365),,((0.1*(ROUND('מודל כלכלי'!$C$59*(1+0.03)^12,-4)))+((('הנחות עסקה'!$D$72*'הנחות עסקה'!$I$70)/365)*חישובים!$D$23*(0.1*(ROUND('מודל כלכלי'!$C$59*(1+0.03)^12,-4)))*0.5)))))+(-(((0.07*(ROUND('מודל כלכלי'!$C$59*(1+0.03)^12,-4)))+(0.13*(ROUND('מודל כלכלי'!$C$59*(1+0.03)^12,-4)))+(-PV(חישובים!$D$21,((('הנחות עסקה'!$D$72*'הנחות עסקה'!$I$70)-30)/365),,((0.7*(ROUND('מודל כלכלי'!$C$59*(1+0.03)^12,-4)))+(((('הנחות עסקה'!$D$72*'הנחות עסקה'!$I$70)-30)/365)*חישובים!$D$23*(0.7*(ROUND('מודל כלכלי'!$C$59*(1+0.03)^12,-4)))*0.5))))+(-PV(חישובים!$D$21,(('הנחות עסקה'!$D$72*'הנחות עסקה'!$I$70)/365),,((0.1*(ROUND('מודל כלכלי'!$C$59*(1+0.03)^12,-4)))+((('הנחות עסקה'!$D$72*'הנחות עסקה'!$I$70)/365)*חישובים!$D$23*(0.1*(ROUND('מודל כלכלי'!$C$59*(1+0.03)^12,-4)))*0.5)))))+(-PV(חישובים!$D$21/12,(('הנחות עסקה'!$D$72*'הנחות עסקה'!$I$70)/365*12),(-FV('מודל כלכלי'!$C$20,(12+(('הנחות עסקה'!$D$71-'הנחות עסקה'!$D$72)*'הנחות עסקה'!$I$70)/365),,'מודל כלכלי'!$C$53)))))*היוון!$C$26)),ROUND('מודל כלכלי'!$C$59*(1+0.03)^12,-4)))+(ROUND(FV('מודל כלכלי'!$C$17/12,12*12,'מודל כלכלי'!$C$48,'מודל כלכלי'!$C$46),-4))+(ROUND(-'מודל כלכלי'!$C$66*(IF('מודל כלכלי'!$C$26="פליפ",((-PV(חישובים!$D$21/12,(('הנחות עסקה'!$D$72*'הנחות עסקה'!$I$70)/365*12),(-FV('מודל כלכלי'!$C$20,(12+(('הנחות עסקה'!$D$71-'הנחות עסקה'!$D$72)*'הנחות עסקה'!$I$70)/365),,'מודל כלכלי'!$C$53))))+((0.07*(ROUND('מודל כלכלי'!$C$59*(1+0.03)^12,-4)))+(0.13*(ROUND('מודל כלכלי'!$C$59*(1+0.03)^12,-4)))+(-PV(חישובים!$D$21,((('הנחות עסקה'!$D$72*'הנחות עסקה'!$I$70)-30)/365),,((0.7*(ROUND('מודל כלכלי'!$C$59*(1+0.03)^12,-4)))+(((('הנחות עסקה'!$D$72*'הנחות עסקה'!$I$70)-30)/365)*חישובים!$D$23*(0.7*(ROUND('מודל כלכלי'!$C$59*(1+0.03)^12,-4)))*0.5))))+(-PV(חישובים!$D$21,(('הנחות עסקה'!$D$72*'הנחות עסקה'!$I$70)/365),,((0.1*(ROUND('מודל כלכלי'!$C$59*(1+0.03)^12,-4)))+((('הנחות עסקה'!$D$72*'הנחות עסקה'!$I$70)/365)*חישובים!$D$23*(0.1*(ROUND('מודל כלכלי'!$C$59*(1+0.03)^12,-4)))*0.5)))))+(-(((0.07*(ROUND('מודל כלכלי'!$C$59*(1+0.03)^12,-4)))+(0.13*(ROUND('מודל כלכלי'!$C$59*(1+0.03)^12,-4)))+(-PV(חישובים!$D$21,((('הנחות עסקה'!$D$72*'הנחות עסקה'!$I$70)-30)/365),,((0.7*(ROUND('מודל כלכלי'!$C$59*(1+0.03)^12,-4)))+(((('הנחות עסקה'!$D$72*'הנחות עסקה'!$I$70)-30)/365)*חישובים!$D$23*(0.7*(ROUND('מודל כלכלי'!$C$59*(1+0.03)^12,-4)))*0.5))))+(-PV(חישובים!$D$21,(('הנחות עסקה'!$D$72*'הנחות עסקה'!$I$70)/365),,((0.1*(ROUND('מודל כלכלי'!$C$59*(1+0.03)^12,-4)))+((('הנחות עסקה'!$D$72*'הנחות עסקה'!$I$70)/365)*חישובים!$D$23*(0.1*(ROUND('מודל כלכלי'!$C$59*(1+0.03)^12,-4)))*0.5)))))+(-PV(חישובים!$D$21/12,(('הנחות עסקה'!$D$72*'הנחות עסקה'!$I$70)/365*12),(-FV('מודל כלכלי'!$C$20,(12+(('הנחות עסקה'!$D$71-'הנחות עסקה'!$D$72)*'הנחות עסקה'!$I$70)/365),,'מודל כלכלי'!$C$53)))))*היוון!$C$26)),ROUND('מודל כלכלי'!$C$59*(1+0.03)^12,-4)))*'מודל כלכלי'!$C$14-'מודל כלכלי'!$C$68*(IF('מודל כלכלי'!$C$26="פליפ",((-PV(חישובים!$D$21/12,(('הנחות עסקה'!$D$72*'הנחות עסקה'!$I$70)/365*12),(-FV('מודל כלכלי'!$C$20,(12+(('הנחות עסקה'!$D$71-'הנחות עסקה'!$D$72)*'הנחות עסקה'!$I$70)/365),,'מודל כלכלי'!$C$53))))+((0.07*(ROUND('מודל כלכלי'!$C$59*(1+0.03)^12,-4)))+(0.13*(ROUND('מודל כלכלי'!$C$59*(1+0.03)^12,-4)))+(-PV(חישובים!$D$21,((('הנחות עסקה'!$D$72*'הנחות עסקה'!$I$70)-30)/365),,((0.7*(ROUND('מודל כלכלי'!$C$59*(1+0.03)^12,-4)))+(((('הנחות עסקה'!$D$72*'הנחות עסקה'!$I$70)-30)/365)*חישובים!$D$23*(0.7*(ROUND('מודל כלכלי'!$C$59*(1+0.03)^12,-4)))*0.5))))+(-PV(חישובים!$D$21,(('הנחות עסקה'!$D$72*'הנחות עסקה'!$I$70)/365),,((0.1*(ROUND('מודל כלכלי'!$C$59*(1+0.03)^12,-4)))+((('הנחות עסקה'!$D$72*'הנחות עסקה'!$I$70)/365)*חישובים!$D$23*(0.1*(ROUND('מודל כלכלי'!$C$59*(1+0.03)^12,-4)))*0.5)))))+(-(((0.07*(ROUND('מודל כלכלי'!$C$59*(1+0.03)^12,-4)))+(0.13*(ROUND('מודל כלכלי'!$C$59*(1+0.03)^12,-4)))+(-PV(חישובים!$D$21,((('הנחות עסקה'!$D$72*'הנחות עסקה'!$I$70)-30)/365),,((0.7*(ROUND('מודל כלכלי'!$C$59*(1+0.03)^12,-4)))+(((('הנחות עסקה'!$D$72*'הנחות עסקה'!$I$70)-30)/365)*חישובים!$D$23*(0.7*(ROUND('מודל כלכלי'!$C$59*(1+0.03)^12,-4)))*0.5))))+(-PV(חישובים!$D$21,(('הנחות עסקה'!$D$72*'הנחות עסקה'!$I$70)/365),,((0.1*(ROUND('מודל כלכלי'!$C$59*(1+0.03)^12,-4)))+((('הנחות עסקה'!$D$72*'הנחות עסקה'!$I$70)/365)*חישובים!$D$23*(0.1*(ROUND('מודל כלכלי'!$C$59*(1+0.03)^12,-4)))*0.5)))))+(-PV(חישובים!$D$21/12,(('הנחות עסקה'!$D$72*'הנחות עסקה'!$I$70)/365*12),(-FV('מודל כלכלי'!$C$20,(12+(('הנחות עסקה'!$D$71-'הנחות עסקה'!$D$72)*'הנחות עסקה'!$I$70)/365),,'מודל כלכלי'!$C$53)))))*היוון!$C$26)),ROUND('מודל כלכלי'!$C$59*(1+0.03)^12,-4)))*'מודל כלכלי'!$C$14+'מודל כלכלי'!$C$70,-3))+(ROUND(-FV(חישובים!$D$22,12*12,'מודל כלכלי'!$C$55),-3))+(-'מודל כלכלי'!$C$45)+(-MAX(0,(IF('מודל כלכלי'!$C$26="פליפ",((-PV(חישובים!$D$21/12,(('הנחות עסקה'!$D$72*'הנחות עסקה'!$I$70)/365*12),(-FV('מודל כלכלי'!$C$20,(12+(('הנחות עסקה'!$D$71-'הנחות עסקה'!$D$72)*'הנחות עסקה'!$I$70)/365),,'מודל כלכלי'!$C$53))))+((0.07*(ROUND('מודל כלכלי'!$C$59*(1+0.03)^12,-4)))+(0.13*(ROUND('מודל כלכלי'!$C$59*(1+0.03)^12,-4)))+(-PV(חישובים!$D$21,((('הנחות עסקה'!$D$72*'הנחות עסקה'!$I$70)-30)/365),,((0.7*(ROUND('מודל כלכלי'!$C$59*(1+0.03)^12,-4)))+(((('הנחות עסקה'!$D$72*'הנחות עסקה'!$I$70)-30)/365)*חישובים!$D$23*(0.7*(ROUND('מודל כלכלי'!$C$59*(1+0.03)^12,-4)))*0.5))))+(-PV(חישובים!$D$21,(('הנחות עסקה'!$D$72*'הנחות עסקה'!$I$70)/365),,((0.1*(ROUND('מודל כלכלי'!$C$59*(1+0.03)^12,-4)))+((('הנחות עסקה'!$D$72*'הנחות עסקה'!$I$70)/365)*חישובים!$D$23*(0.1*(ROUND('מודל כלכלי'!$C$59*(1+0.03)^12,-4)))*0.5)))))+(-(((0.07*(ROUND('מודל כלכלי'!$C$59*(1+0.03)^12,-4)))+(0.13*(ROUND('מודל כלכלי'!$C$59*(1+0.03)^12,-4)))+(-PV(חישובים!$D$21,((('הנחות עסקה'!$D$72*'הנחות עסקה'!$I$70)-30)/365),,((0.7*(ROUND('מודל כלכלי'!$C$59*(1+0.03)^12,-4)))+(((('הנחות עסקה'!$D$72*'הנחות עסקה'!$I$70)-30)/365)*חישובים!$D$23*(0.7*(ROUND('מודל כלכלי'!$C$59*(1+0.03)^12,-4)))*0.5))))+(-PV(חישובים!$D$21,(('הנחות עסקה'!$D$72*'הנחות עסקה'!$I$70)/365),,((0.1*(ROUND('מודל כלכלי'!$C$59*(1+0.03)^12,-4)))+((('הנחות עסקה'!$D$72*'הנחות עסקה'!$I$70)/365)*חישובים!$D$23*(0.1*(ROUND('מודל כלכלי'!$C$59*(1+0.03)^12,-4)))*0.5)))))+(-PV(חישובים!$D$21/12,(('הנחות עסקה'!$D$72*'הנחות עסקה'!$I$70)/365*12),(-FV('מודל כלכלי'!$C$20,(12+(('הנחות עסקה'!$D$71-'הנחות עסקה'!$D$72)*'הנחות עסקה'!$I$70)/365),,'מודל כלכלי'!$C$53)))))*היוון!$C$26)),ROUND('מודל כלכלי'!$C$59*(1+0.03)^12,-4)))-(חישובים!$D$28*(1+חישובים!$D$29)^12))*0.25),-4)</f>
        <v>2010000</v>
      </c>
      <c r="J19" s="24">
        <f>ROUND((IF('מודל כלכלי'!$C$26="פליפ",((-PV(חישובים!$D$21/12,(('הנחות עסקה'!$D$72*'הנחות עסקה'!$I$70)/365*12),(-FV('מודל כלכלי'!$C$20,(13+(('הנחות עסקה'!$D$71-'הנחות עסקה'!$D$72)*'הנחות עסקה'!$I$70)/365),,'מודל כלכלי'!$C$53))))+((0.07*(ROUND('מודל כלכלי'!$C$59*(1+0.03)^13,-4)))+(0.13*(ROUND('מודל כלכלי'!$C$59*(1+0.03)^13,-4)))+(-PV(חישובים!$D$21,((('הנחות עסקה'!$D$72*'הנחות עסקה'!$I$70)-30)/365),,((0.7*(ROUND('מודל כלכלי'!$C$59*(1+0.03)^13,-4)))+(((('הנחות עסקה'!$D$72*'הנחות עסקה'!$I$70)-30)/365)*חישובים!$D$23*(0.7*(ROUND('מודל כלכלי'!$C$59*(1+0.03)^13,-4)))*0.5))))+(-PV(חישובים!$D$21,(('הנחות עסקה'!$D$72*'הנחות עסקה'!$I$70)/365),,((0.1*(ROUND('מודל כלכלי'!$C$59*(1+0.03)^13,-4)))+((('הנחות עסקה'!$D$72*'הנחות עסקה'!$I$70)/365)*חישובים!$D$23*(0.1*(ROUND('מודל כלכלי'!$C$59*(1+0.03)^13,-4)))*0.5)))))+(-(((0.07*(ROUND('מודל כלכלי'!$C$59*(1+0.03)^13,-4)))+(0.13*(ROUND('מודל כלכלי'!$C$59*(1+0.03)^13,-4)))+(-PV(חישובים!$D$21,((('הנחות עסקה'!$D$72*'הנחות עסקה'!$I$70)-30)/365),,((0.7*(ROUND('מודל כלכלי'!$C$59*(1+0.03)^13,-4)))+(((('הנחות עסקה'!$D$72*'הנחות עסקה'!$I$70)-30)/365)*חישובים!$D$23*(0.7*(ROUND('מודל כלכלי'!$C$59*(1+0.03)^13,-4)))*0.5))))+(-PV(חישובים!$D$21,(('הנחות עסקה'!$D$72*'הנחות עסקה'!$I$70)/365),,((0.1*(ROUND('מודל כלכלי'!$C$59*(1+0.03)^13,-4)))+((('הנחות עסקה'!$D$72*'הנחות עסקה'!$I$70)/365)*חישובים!$D$23*(0.1*(ROUND('מודל כלכלי'!$C$59*(1+0.03)^13,-4)))*0.5)))))+(-PV(חישובים!$D$21/12,(('הנחות עסקה'!$D$72*'הנחות עסקה'!$I$70)/365*12),(-FV('מודל כלכלי'!$C$20,(13+(('הנחות עסקה'!$D$71-'הנחות עסקה'!$D$72)*'הנחות עסקה'!$I$70)/365),,'מודל כלכלי'!$C$53)))))*היוון!$C$26)),ROUND('מודל כלכלי'!$C$59*(1+0.03)^13,-4)))+(ROUND(FV('מודל כלכלי'!$C$17/12,13*12,'מודל כלכלי'!$C$48,'מודל כלכלי'!$C$46),-4))+(ROUND(-'מודל כלכלי'!$C$66*(IF('מודל כלכלי'!$C$26="פליפ",((-PV(חישובים!$D$21/12,(('הנחות עסקה'!$D$72*'הנחות עסקה'!$I$70)/365*12),(-FV('מודל כלכלי'!$C$20,(13+(('הנחות עסקה'!$D$71-'הנחות עסקה'!$D$72)*'הנחות עסקה'!$I$70)/365),,'מודל כלכלי'!$C$53))))+((0.07*(ROUND('מודל כלכלי'!$C$59*(1+0.03)^13,-4)))+(0.13*(ROUND('מודל כלכלי'!$C$59*(1+0.03)^13,-4)))+(-PV(חישובים!$D$21,((('הנחות עסקה'!$D$72*'הנחות עסקה'!$I$70)-30)/365),,((0.7*(ROUND('מודל כלכלי'!$C$59*(1+0.03)^13,-4)))+(((('הנחות עסקה'!$D$72*'הנחות עסקה'!$I$70)-30)/365)*חישובים!$D$23*(0.7*(ROUND('מודל כלכלי'!$C$59*(1+0.03)^13,-4)))*0.5))))+(-PV(חישובים!$D$21,(('הנחות עסקה'!$D$72*'הנחות עסקה'!$I$70)/365),,((0.1*(ROUND('מודל כלכלי'!$C$59*(1+0.03)^13,-4)))+((('הנחות עסקה'!$D$72*'הנחות עסקה'!$I$70)/365)*חישובים!$D$23*(0.1*(ROUND('מודל כלכלי'!$C$59*(1+0.03)^13,-4)))*0.5)))))+(-(((0.07*(ROUND('מודל כלכלי'!$C$59*(1+0.03)^13,-4)))+(0.13*(ROUND('מודל כלכלי'!$C$59*(1+0.03)^13,-4)))+(-PV(חישובים!$D$21,((('הנחות עסקה'!$D$72*'הנחות עסקה'!$I$70)-30)/365),,((0.7*(ROUND('מודל כלכלי'!$C$59*(1+0.03)^13,-4)))+(((('הנחות עסקה'!$D$72*'הנחות עסקה'!$I$70)-30)/365)*חישובים!$D$23*(0.7*(ROUND('מודל כלכלי'!$C$59*(1+0.03)^13,-4)))*0.5))))+(-PV(חישובים!$D$21,(('הנחות עסקה'!$D$72*'הנחות עסקה'!$I$70)/365),,((0.1*(ROUND('מודל כלכלי'!$C$59*(1+0.03)^13,-4)))+((('הנחות עסקה'!$D$72*'הנחות עסקה'!$I$70)/365)*חישובים!$D$23*(0.1*(ROUND('מודל כלכלי'!$C$59*(1+0.03)^13,-4)))*0.5)))))+(-PV(חישובים!$D$21/12,(('הנחות עסקה'!$D$72*'הנחות עסקה'!$I$70)/365*12),(-FV('מודל כלכלי'!$C$20,(13+(('הנחות עסקה'!$D$71-'הנחות עסקה'!$D$72)*'הנחות עסקה'!$I$70)/365),,'מודל כלכלי'!$C$53)))))*היוון!$C$26)),ROUND('מודל כלכלי'!$C$59*(1+0.03)^13,-4)))*'מודל כלכלי'!$C$14-'מודל כלכלי'!$C$68*(IF('מודל כלכלי'!$C$26="פליפ",((-PV(חישובים!$D$21/12,(('הנחות עסקה'!$D$72*'הנחות עסקה'!$I$70)/365*12),(-FV('מודל כלכלי'!$C$20,(13+(('הנחות עסקה'!$D$71-'הנחות עסקה'!$D$72)*'הנחות עסקה'!$I$70)/365),,'מודל כלכלי'!$C$53))))+((0.07*(ROUND('מודל כלכלי'!$C$59*(1+0.03)^13,-4)))+(0.13*(ROUND('מודל כלכלי'!$C$59*(1+0.03)^13,-4)))+(-PV(חישובים!$D$21,((('הנחות עסקה'!$D$72*'הנחות עסקה'!$I$70)-30)/365),,((0.7*(ROUND('מודל כלכלי'!$C$59*(1+0.03)^13,-4)))+(((('הנחות עסקה'!$D$72*'הנחות עסקה'!$I$70)-30)/365)*חישובים!$D$23*(0.7*(ROUND('מודל כלכלי'!$C$59*(1+0.03)^13,-4)))*0.5))))+(-PV(חישובים!$D$21,(('הנחות עסקה'!$D$72*'הנחות עסקה'!$I$70)/365),,((0.1*(ROUND('מודל כלכלי'!$C$59*(1+0.03)^13,-4)))+((('הנחות עסקה'!$D$72*'הנחות עסקה'!$I$70)/365)*חישובים!$D$23*(0.1*(ROUND('מודל כלכלי'!$C$59*(1+0.03)^13,-4)))*0.5)))))+(-(((0.07*(ROUND('מודל כלכלי'!$C$59*(1+0.03)^13,-4)))+(0.13*(ROUND('מודל כלכלי'!$C$59*(1+0.03)^13,-4)))+(-PV(חישובים!$D$21,((('הנחות עסקה'!$D$72*'הנחות עסקה'!$I$70)-30)/365),,((0.7*(ROUND('מודל כלכלי'!$C$59*(1+0.03)^13,-4)))+(((('הנחות עסקה'!$D$72*'הנחות עסקה'!$I$70)-30)/365)*חישובים!$D$23*(0.7*(ROUND('מודל כלכלי'!$C$59*(1+0.03)^13,-4)))*0.5))))+(-PV(חישובים!$D$21,(('הנחות עסקה'!$D$72*'הנחות עסקה'!$I$70)/365),,((0.1*(ROUND('מודל כלכלי'!$C$59*(1+0.03)^13,-4)))+((('הנחות עסקה'!$D$72*'הנחות עסקה'!$I$70)/365)*חישובים!$D$23*(0.1*(ROUND('מודל כלכלי'!$C$59*(1+0.03)^13,-4)))*0.5)))))+(-PV(חישובים!$D$21/12,(('הנחות עסקה'!$D$72*'הנחות עסקה'!$I$70)/365*12),(-FV('מודל כלכלי'!$C$20,(13+(('הנחות עסקה'!$D$71-'הנחות עסקה'!$D$72)*'הנחות עסקה'!$I$70)/365),,'מודל כלכלי'!$C$53)))))*היוון!$C$26)),ROUND('מודל כלכלי'!$C$59*(1+0.03)^13,-4)))*'מודל כלכלי'!$C$14+'מודל כלכלי'!$C$70,-3))+(ROUND(-FV(חישובים!$D$22,13*12,'מודל כלכלי'!$C$55),-3))+(-'מודל כלכלי'!$C$45)+(-MAX(0,(IF('מודל כלכלי'!$C$26="פליפ",((-PV(חישובים!$D$21/12,(('הנחות עסקה'!$D$72*'הנחות עסקה'!$I$70)/365*12),(-FV('מודל כלכלי'!$C$20,(13+(('הנחות עסקה'!$D$71-'הנחות עסקה'!$D$72)*'הנחות עסקה'!$I$70)/365),,'מודל כלכלי'!$C$53))))+((0.07*(ROUND('מודל כלכלי'!$C$59*(1+0.03)^13,-4)))+(0.13*(ROUND('מודל כלכלי'!$C$59*(1+0.03)^13,-4)))+(-PV(חישובים!$D$21,((('הנחות עסקה'!$D$72*'הנחות עסקה'!$I$70)-30)/365),,((0.7*(ROUND('מודל כלכלי'!$C$59*(1+0.03)^13,-4)))+(((('הנחות עסקה'!$D$72*'הנחות עסקה'!$I$70)-30)/365)*חישובים!$D$23*(0.7*(ROUND('מודל כלכלי'!$C$59*(1+0.03)^13,-4)))*0.5))))+(-PV(חישובים!$D$21,(('הנחות עסקה'!$D$72*'הנחות עסקה'!$I$70)/365),,((0.1*(ROUND('מודל כלכלי'!$C$59*(1+0.03)^13,-4)))+((('הנחות עסקה'!$D$72*'הנחות עסקה'!$I$70)/365)*חישובים!$D$23*(0.1*(ROUND('מודל כלכלי'!$C$59*(1+0.03)^13,-4)))*0.5)))))+(-(((0.07*(ROUND('מודל כלכלי'!$C$59*(1+0.03)^13,-4)))+(0.13*(ROUND('מודל כלכלי'!$C$59*(1+0.03)^13,-4)))+(-PV(חישובים!$D$21,((('הנחות עסקה'!$D$72*'הנחות עסקה'!$I$70)-30)/365),,((0.7*(ROUND('מודל כלכלי'!$C$59*(1+0.03)^13,-4)))+(((('הנחות עסקה'!$D$72*'הנחות עסקה'!$I$70)-30)/365)*חישובים!$D$23*(0.7*(ROUND('מודל כלכלי'!$C$59*(1+0.03)^13,-4)))*0.5))))+(-PV(חישובים!$D$21,(('הנחות עסקה'!$D$72*'הנחות עסקה'!$I$70)/365),,((0.1*(ROUND('מודל כלכלי'!$C$59*(1+0.03)^13,-4)))+((('הנחות עסקה'!$D$72*'הנחות עסקה'!$I$70)/365)*חישובים!$D$23*(0.1*(ROUND('מודל כלכלי'!$C$59*(1+0.03)^13,-4)))*0.5)))))+(-PV(חישובים!$D$21/12,(('הנחות עסקה'!$D$72*'הנחות עסקה'!$I$70)/365*12),(-FV('מודל כלכלי'!$C$20,(13+(('הנחות עסקה'!$D$71-'הנחות עסקה'!$D$72)*'הנחות עסקה'!$I$70)/365),,'מודל כלכלי'!$C$53)))))*היוון!$C$26)),ROUND('מודל כלכלי'!$C$59*(1+0.03)^13,-4)))-(חישובים!$D$28*(1+חישובים!$D$29)^13))*0.25),-4)</f>
        <v>2120000</v>
      </c>
    </row>
    <row r="20" spans="2:10" ht="15" customHeight="1">
      <c r="B20" s="74">
        <v>0.04</v>
      </c>
      <c r="C20" s="24">
        <f>ROUND((IF('מודל כלכלי'!$C$26="פליפ",((-PV(חישובים!$D$21/12,(('הנחות עסקה'!$D$72*'הנחות עסקה'!$I$70)/365*12),(-FV('מודל כלכלי'!$C$20,(6+(('הנחות עסקה'!$D$71-'הנחות עסקה'!$D$72)*'הנחות עסקה'!$I$70)/365),,'מודל כלכלי'!$C$53))))+((0.07*(ROUND('מודל כלכלי'!$C$59*(1+0.04)^6,-4)))+(0.13*(ROUND('מודל כלכלי'!$C$59*(1+0.04)^6,-4)))+(-PV(חישובים!$D$21,((('הנחות עסקה'!$D$72*'הנחות עסקה'!$I$70)-30)/365),,((0.7*(ROUND('מודל כלכלי'!$C$59*(1+0.04)^6,-4)))+(((('הנחות עסקה'!$D$72*'הנחות עסקה'!$I$70)-30)/365)*חישובים!$D$23*(0.7*(ROUND('מודל כלכלי'!$C$59*(1+0.04)^6,-4)))*0.5))))+(-PV(חישובים!$D$21,(('הנחות עסקה'!$D$72*'הנחות עסקה'!$I$70)/365),,((0.1*(ROUND('מודל כלכלי'!$C$59*(1+0.04)^6,-4)))+((('הנחות עסקה'!$D$72*'הנחות עסקה'!$I$70)/365)*חישובים!$D$23*(0.1*(ROUND('מודל כלכלי'!$C$59*(1+0.04)^6,-4)))*0.5)))))+(-(((0.07*(ROUND('מודל כלכלי'!$C$59*(1+0.04)^6,-4)))+(0.13*(ROUND('מודל כלכלי'!$C$59*(1+0.04)^6,-4)))+(-PV(חישובים!$D$21,((('הנחות עסקה'!$D$72*'הנחות עסקה'!$I$70)-30)/365),,((0.7*(ROUND('מודל כלכלי'!$C$59*(1+0.04)^6,-4)))+(((('הנחות עסקה'!$D$72*'הנחות עסקה'!$I$70)-30)/365)*חישובים!$D$23*(0.7*(ROUND('מודל כלכלי'!$C$59*(1+0.04)^6,-4)))*0.5))))+(-PV(חישובים!$D$21,(('הנחות עסקה'!$D$72*'הנחות עסקה'!$I$70)/365),,((0.1*(ROUND('מודל כלכלי'!$C$59*(1+0.04)^6,-4)))+((('הנחות עסקה'!$D$72*'הנחות עסקה'!$I$70)/365)*חישובים!$D$23*(0.1*(ROUND('מודל כלכלי'!$C$59*(1+0.04)^6,-4)))*0.5)))))+(-PV(חישובים!$D$21/12,(('הנחות עסקה'!$D$72*'הנחות עסקה'!$I$70)/365*12),(-FV('מודל כלכלי'!$C$20,(6+(('הנחות עסקה'!$D$71-'הנחות עסקה'!$D$72)*'הנחות עסקה'!$I$70)/365),,'מודל כלכלי'!$C$53)))))*היוון!$C$26)),ROUND('מודל כלכלי'!$C$59*(1+0.04)^6,-4)))+(ROUND(FV('מודל כלכלי'!$C$17/12,6*12,'מודל כלכלי'!$C$48,'מודל כלכלי'!$C$46),-4))+(ROUND(-'מודל כלכלי'!$C$66*(IF('מודל כלכלי'!$C$26="פליפ",((-PV(חישובים!$D$21/12,(('הנחות עסקה'!$D$72*'הנחות עסקה'!$I$70)/365*12),(-FV('מודל כלכלי'!$C$20,(6+(('הנחות עסקה'!$D$71-'הנחות עסקה'!$D$72)*'הנחות עסקה'!$I$70)/365),,'מודל כלכלי'!$C$53))))+((0.07*(ROUND('מודל כלכלי'!$C$59*(1+0.04)^6,-4)))+(0.13*(ROUND('מודל כלכלי'!$C$59*(1+0.04)^6,-4)))+(-PV(חישובים!$D$21,((('הנחות עסקה'!$D$72*'הנחות עסקה'!$I$70)-30)/365),,((0.7*(ROUND('מודל כלכלי'!$C$59*(1+0.04)^6,-4)))+(((('הנחות עסקה'!$D$72*'הנחות עסקה'!$I$70)-30)/365)*חישובים!$D$23*(0.7*(ROUND('מודל כלכלי'!$C$59*(1+0.04)^6,-4)))*0.5))))+(-PV(חישובים!$D$21,(('הנחות עסקה'!$D$72*'הנחות עסקה'!$I$70)/365),,((0.1*(ROUND('מודל כלכלי'!$C$59*(1+0.04)^6,-4)))+((('הנחות עסקה'!$D$72*'הנחות עסקה'!$I$70)/365)*חישובים!$D$23*(0.1*(ROUND('מודל כלכלי'!$C$59*(1+0.04)^6,-4)))*0.5)))))+(-(((0.07*(ROUND('מודל כלכלי'!$C$59*(1+0.04)^6,-4)))+(0.13*(ROUND('מודל כלכלי'!$C$59*(1+0.04)^6,-4)))+(-PV(חישובים!$D$21,((('הנחות עסקה'!$D$72*'הנחות עסקה'!$I$70)-30)/365),,((0.7*(ROUND('מודל כלכלי'!$C$59*(1+0.04)^6,-4)))+(((('הנחות עסקה'!$D$72*'הנחות עסקה'!$I$70)-30)/365)*חישובים!$D$23*(0.7*(ROUND('מודל כלכלי'!$C$59*(1+0.04)^6,-4)))*0.5))))+(-PV(חישובים!$D$21,(('הנחות עסקה'!$D$72*'הנחות עסקה'!$I$70)/365),,((0.1*(ROUND('מודל כלכלי'!$C$59*(1+0.04)^6,-4)))+((('הנחות עסקה'!$D$72*'הנחות עסקה'!$I$70)/365)*חישובים!$D$23*(0.1*(ROUND('מודל כלכלי'!$C$59*(1+0.04)^6,-4)))*0.5)))))+(-PV(חישובים!$D$21/12,(('הנחות עסקה'!$D$72*'הנחות עסקה'!$I$70)/365*12),(-FV('מודל כלכלי'!$C$20,(6+(('הנחות עסקה'!$D$71-'הנחות עסקה'!$D$72)*'הנחות עסקה'!$I$70)/365),,'מודל כלכלי'!$C$53)))))*היוון!$C$26)),ROUND('מודל כלכלי'!$C$59*(1+0.04)^6,-4)))*'מודל כלכלי'!$C$14-'מודל כלכלי'!$C$68*(IF('מודל כלכלי'!$C$26="פליפ",((-PV(חישובים!$D$21/12,(('הנחות עסקה'!$D$72*'הנחות עסקה'!$I$70)/365*12),(-FV('מודל כלכלי'!$C$20,(6+(('הנחות עסקה'!$D$71-'הנחות עסקה'!$D$72)*'הנחות עסקה'!$I$70)/365),,'מודל כלכלי'!$C$53))))+((0.07*(ROUND('מודל כלכלי'!$C$59*(1+0.04)^6,-4)))+(0.13*(ROUND('מודל כלכלי'!$C$59*(1+0.04)^6,-4)))+(-PV(חישובים!$D$21,((('הנחות עסקה'!$D$72*'הנחות עסקה'!$I$70)-30)/365),,((0.7*(ROUND('מודל כלכלי'!$C$59*(1+0.04)^6,-4)))+(((('הנחות עסקה'!$D$72*'הנחות עסקה'!$I$70)-30)/365)*חישובים!$D$23*(0.7*(ROUND('מודל כלכלי'!$C$59*(1+0.04)^6,-4)))*0.5))))+(-PV(חישובים!$D$21,(('הנחות עסקה'!$D$72*'הנחות עסקה'!$I$70)/365),,((0.1*(ROUND('מודל כלכלי'!$C$59*(1+0.04)^6,-4)))+((('הנחות עסקה'!$D$72*'הנחות עסקה'!$I$70)/365)*חישובים!$D$23*(0.1*(ROUND('מודל כלכלי'!$C$59*(1+0.04)^6,-4)))*0.5)))))+(-(((0.07*(ROUND('מודל כלכלי'!$C$59*(1+0.04)^6,-4)))+(0.13*(ROUND('מודל כלכלי'!$C$59*(1+0.04)^6,-4)))+(-PV(חישובים!$D$21,((('הנחות עסקה'!$D$72*'הנחות עסקה'!$I$70)-30)/365),,((0.7*(ROUND('מודל כלכלי'!$C$59*(1+0.04)^6,-4)))+(((('הנחות עסקה'!$D$72*'הנחות עסקה'!$I$70)-30)/365)*חישובים!$D$23*(0.7*(ROUND('מודל כלכלי'!$C$59*(1+0.04)^6,-4)))*0.5))))+(-PV(חישובים!$D$21,(('הנחות עסקה'!$D$72*'הנחות עסקה'!$I$70)/365),,((0.1*(ROUND('מודל כלכלי'!$C$59*(1+0.04)^6,-4)))+((('הנחות עסקה'!$D$72*'הנחות עסקה'!$I$70)/365)*חישובים!$D$23*(0.1*(ROUND('מודל כלכלי'!$C$59*(1+0.04)^6,-4)))*0.5)))))+(-PV(חישובים!$D$21/12,(('הנחות עסקה'!$D$72*'הנחות עסקה'!$I$70)/365*12),(-FV('מודל כלכלי'!$C$20,(6+(('הנחות עסקה'!$D$71-'הנחות עסקה'!$D$72)*'הנחות עסקה'!$I$70)/365),,'מודל כלכלי'!$C$53)))))*היוון!$C$26)),ROUND('מודל כלכלי'!$C$59*(1+0.04)^6,-4)))*'מודל כלכלי'!$C$14+'מודל כלכלי'!$C$70,-3))+(ROUND(-FV(חישובים!$D$22,6*12,'מודל כלכלי'!$C$55),-3))+(-'מודל כלכלי'!$C$45)+(-MAX(0,(IF('מודל כלכלי'!$C$26="פליפ",((-PV(חישובים!$D$21/12,(('הנחות עסקה'!$D$72*'הנחות עסקה'!$I$70)/365*12),(-FV('מודל כלכלי'!$C$20,(6+(('הנחות עסקה'!$D$71-'הנחות עסקה'!$D$72)*'הנחות עסקה'!$I$70)/365),,'מודל כלכלי'!$C$53))))+((0.07*(ROUND('מודל כלכלי'!$C$59*(1+0.04)^6,-4)))+(0.13*(ROUND('מודל כלכלי'!$C$59*(1+0.04)^6,-4)))+(-PV(חישובים!$D$21,((('הנחות עסקה'!$D$72*'הנחות עסקה'!$I$70)-30)/365),,((0.7*(ROUND('מודל כלכלי'!$C$59*(1+0.04)^6,-4)))+(((('הנחות עסקה'!$D$72*'הנחות עסקה'!$I$70)-30)/365)*חישובים!$D$23*(0.7*(ROUND('מודל כלכלי'!$C$59*(1+0.04)^6,-4)))*0.5))))+(-PV(חישובים!$D$21,(('הנחות עסקה'!$D$72*'הנחות עסקה'!$I$70)/365),,((0.1*(ROUND('מודל כלכלי'!$C$59*(1+0.04)^6,-4)))+((('הנחות עסקה'!$D$72*'הנחות עסקה'!$I$70)/365)*חישובים!$D$23*(0.1*(ROUND('מודל כלכלי'!$C$59*(1+0.04)^6,-4)))*0.5)))))+(-(((0.07*(ROUND('מודל כלכלי'!$C$59*(1+0.04)^6,-4)))+(0.13*(ROUND('מודל כלכלי'!$C$59*(1+0.04)^6,-4)))+(-PV(חישובים!$D$21,((('הנחות עסקה'!$D$72*'הנחות עסקה'!$I$70)-30)/365),,((0.7*(ROUND('מודל כלכלי'!$C$59*(1+0.04)^6,-4)))+(((('הנחות עסקה'!$D$72*'הנחות עסקה'!$I$70)-30)/365)*חישובים!$D$23*(0.7*(ROUND('מודל כלכלי'!$C$59*(1+0.04)^6,-4)))*0.5))))+(-PV(חישובים!$D$21,(('הנחות עסקה'!$D$72*'הנחות עסקה'!$I$70)/365),,((0.1*(ROUND('מודל כלכלי'!$C$59*(1+0.04)^6,-4)))+((('הנחות עסקה'!$D$72*'הנחות עסקה'!$I$70)/365)*חישובים!$D$23*(0.1*(ROUND('מודל כלכלי'!$C$59*(1+0.04)^6,-4)))*0.5)))))+(-PV(חישובים!$D$21/12,(('הנחות עסקה'!$D$72*'הנחות עסקה'!$I$70)/365*12),(-FV('מודל כלכלי'!$C$20,(6+(('הנחות עסקה'!$D$71-'הנחות עסקה'!$D$72)*'הנחות עסקה'!$I$70)/365),,'מודל כלכלי'!$C$53)))))*היוון!$C$26)),ROUND('מודל כלכלי'!$C$59*(1+0.04)^6,-4)))-(חישובים!$D$28*(1+חישובים!$D$29)^6))*0.25),-4)</f>
        <v>1650000</v>
      </c>
      <c r="D20" s="24">
        <f>ROUND((IF('מודל כלכלי'!$C$26="פליפ",((-PV(חישובים!$D$21/12,(('הנחות עסקה'!$D$72*'הנחות עסקה'!$I$70)/365*12),(-FV('מודל כלכלי'!$C$20,(7+(('הנחות עסקה'!$D$71-'הנחות עסקה'!$D$72)*'הנחות עסקה'!$I$70)/365),,'מודל כלכלי'!$C$53))))+((0.07*(ROUND('מודל כלכלי'!$C$59*(1+0.04)^7,-4)))+(0.13*(ROUND('מודל כלכלי'!$C$59*(1+0.04)^7,-4)))+(-PV(חישובים!$D$21,((('הנחות עסקה'!$D$72*'הנחות עסקה'!$I$70)-30)/365),,((0.7*(ROUND('מודל כלכלי'!$C$59*(1+0.04)^7,-4)))+(((('הנחות עסקה'!$D$72*'הנחות עסקה'!$I$70)-30)/365)*חישובים!$D$23*(0.7*(ROUND('מודל כלכלי'!$C$59*(1+0.04)^7,-4)))*0.5))))+(-PV(חישובים!$D$21,(('הנחות עסקה'!$D$72*'הנחות עסקה'!$I$70)/365),,((0.1*(ROUND('מודל כלכלי'!$C$59*(1+0.04)^7,-4)))+((('הנחות עסקה'!$D$72*'הנחות עסקה'!$I$70)/365)*חישובים!$D$23*(0.1*(ROUND('מודל כלכלי'!$C$59*(1+0.04)^7,-4)))*0.5)))))+(-(((0.07*(ROUND('מודל כלכלי'!$C$59*(1+0.04)^7,-4)))+(0.13*(ROUND('מודל כלכלי'!$C$59*(1+0.04)^7,-4)))+(-PV(חישובים!$D$21,((('הנחות עסקה'!$D$72*'הנחות עסקה'!$I$70)-30)/365),,((0.7*(ROUND('מודל כלכלי'!$C$59*(1+0.04)^7,-4)))+(((('הנחות עסקה'!$D$72*'הנחות עסקה'!$I$70)-30)/365)*חישובים!$D$23*(0.7*(ROUND('מודל כלכלי'!$C$59*(1+0.04)^7,-4)))*0.5))))+(-PV(חישובים!$D$21,(('הנחות עסקה'!$D$72*'הנחות עסקה'!$I$70)/365),,((0.1*(ROUND('מודל כלכלי'!$C$59*(1+0.04)^7,-4)))+((('הנחות עסקה'!$D$72*'הנחות עסקה'!$I$70)/365)*חישובים!$D$23*(0.1*(ROUND('מודל כלכלי'!$C$59*(1+0.04)^7,-4)))*0.5)))))+(-PV(חישובים!$D$21/12,(('הנחות עסקה'!$D$72*'הנחות עסקה'!$I$70)/365*12),(-FV('מודל כלכלי'!$C$20,(7+(('הנחות עסקה'!$D$71-'הנחות עסקה'!$D$72)*'הנחות עסקה'!$I$70)/365),,'מודל כלכלי'!$C$53)))))*היוון!$C$26)),ROUND('מודל כלכלי'!$C$59*(1+0.04)^7,-4)))+(ROUND(FV('מודל כלכלי'!$C$17/12,7*12,'מודל כלכלי'!$C$48,'מודל כלכלי'!$C$46),-4))+(ROUND(-'מודל כלכלי'!$C$66*(IF('מודל כלכלי'!$C$26="פליפ",((-PV(חישובים!$D$21/12,(('הנחות עסקה'!$D$72*'הנחות עסקה'!$I$70)/365*12),(-FV('מודל כלכלי'!$C$20,(7+(('הנחות עסקה'!$D$71-'הנחות עסקה'!$D$72)*'הנחות עסקה'!$I$70)/365),,'מודל כלכלי'!$C$53))))+((0.07*(ROUND('מודל כלכלי'!$C$59*(1+0.04)^7,-4)))+(0.13*(ROUND('מודל כלכלי'!$C$59*(1+0.04)^7,-4)))+(-PV(חישובים!$D$21,((('הנחות עסקה'!$D$72*'הנחות עסקה'!$I$70)-30)/365),,((0.7*(ROUND('מודל כלכלי'!$C$59*(1+0.04)^7,-4)))+(((('הנחות עסקה'!$D$72*'הנחות עסקה'!$I$70)-30)/365)*חישובים!$D$23*(0.7*(ROUND('מודל כלכלי'!$C$59*(1+0.04)^7,-4)))*0.5))))+(-PV(חישובים!$D$21,(('הנחות עסקה'!$D$72*'הנחות עסקה'!$I$70)/365),,((0.1*(ROUND('מודל כלכלי'!$C$59*(1+0.04)^7,-4)))+((('הנחות עסקה'!$D$72*'הנחות עסקה'!$I$70)/365)*חישובים!$D$23*(0.1*(ROUND('מודל כלכלי'!$C$59*(1+0.04)^7,-4)))*0.5)))))+(-(((0.07*(ROUND('מודל כלכלי'!$C$59*(1+0.04)^7,-4)))+(0.13*(ROUND('מודל כלכלי'!$C$59*(1+0.04)^7,-4)))+(-PV(חישובים!$D$21,((('הנחות עסקה'!$D$72*'הנחות עסקה'!$I$70)-30)/365),,((0.7*(ROUND('מודל כלכלי'!$C$59*(1+0.04)^7,-4)))+(((('הנחות עסקה'!$D$72*'הנחות עסקה'!$I$70)-30)/365)*חישובים!$D$23*(0.7*(ROUND('מודל כלכלי'!$C$59*(1+0.04)^7,-4)))*0.5))))+(-PV(חישובים!$D$21,(('הנחות עסקה'!$D$72*'הנחות עסקה'!$I$70)/365),,((0.1*(ROUND('מודל כלכלי'!$C$59*(1+0.04)^7,-4)))+((('הנחות עסקה'!$D$72*'הנחות עסקה'!$I$70)/365)*חישובים!$D$23*(0.1*(ROUND('מודל כלכלי'!$C$59*(1+0.04)^7,-4)))*0.5)))))+(-PV(חישובים!$D$21/12,(('הנחות עסקה'!$D$72*'הנחות עסקה'!$I$70)/365*12),(-FV('מודל כלכלי'!$C$20,(7+(('הנחות עסקה'!$D$71-'הנחות עסקה'!$D$72)*'הנחות עסקה'!$I$70)/365),,'מודל כלכלי'!$C$53)))))*היוון!$C$26)),ROUND('מודל כלכלי'!$C$59*(1+0.04)^7,-4)))*'מודל כלכלי'!$C$14-'מודל כלכלי'!$C$68*(IF('מודל כלכלי'!$C$26="פליפ",((-PV(חישובים!$D$21/12,(('הנחות עסקה'!$D$72*'הנחות עסקה'!$I$70)/365*12),(-FV('מודל כלכלי'!$C$20,(7+(('הנחות עסקה'!$D$71-'הנחות עסקה'!$D$72)*'הנחות עסקה'!$I$70)/365),,'מודל כלכלי'!$C$53))))+((0.07*(ROUND('מודל כלכלי'!$C$59*(1+0.04)^7,-4)))+(0.13*(ROUND('מודל כלכלי'!$C$59*(1+0.04)^7,-4)))+(-PV(חישובים!$D$21,((('הנחות עסקה'!$D$72*'הנחות עסקה'!$I$70)-30)/365),,((0.7*(ROUND('מודל כלכלי'!$C$59*(1+0.04)^7,-4)))+(((('הנחות עסקה'!$D$72*'הנחות עסקה'!$I$70)-30)/365)*חישובים!$D$23*(0.7*(ROUND('מודל כלכלי'!$C$59*(1+0.04)^7,-4)))*0.5))))+(-PV(חישובים!$D$21,(('הנחות עסקה'!$D$72*'הנחות עסקה'!$I$70)/365),,((0.1*(ROUND('מודל כלכלי'!$C$59*(1+0.04)^7,-4)))+((('הנחות עסקה'!$D$72*'הנחות עסקה'!$I$70)/365)*חישובים!$D$23*(0.1*(ROUND('מודל כלכלי'!$C$59*(1+0.04)^7,-4)))*0.5)))))+(-(((0.07*(ROUND('מודל כלכלי'!$C$59*(1+0.04)^7,-4)))+(0.13*(ROUND('מודל כלכלי'!$C$59*(1+0.04)^7,-4)))+(-PV(חישובים!$D$21,((('הנחות עסקה'!$D$72*'הנחות עסקה'!$I$70)-30)/365),,((0.7*(ROUND('מודל כלכלי'!$C$59*(1+0.04)^7,-4)))+(((('הנחות עסקה'!$D$72*'הנחות עסקה'!$I$70)-30)/365)*חישובים!$D$23*(0.7*(ROUND('מודל כלכלי'!$C$59*(1+0.04)^7,-4)))*0.5))))+(-PV(חישובים!$D$21,(('הנחות עסקה'!$D$72*'הנחות עסקה'!$I$70)/365),,((0.1*(ROUND('מודל כלכלי'!$C$59*(1+0.04)^7,-4)))+((('הנחות עסקה'!$D$72*'הנחות עסקה'!$I$70)/365)*חישובים!$D$23*(0.1*(ROUND('מודל כלכלי'!$C$59*(1+0.04)^7,-4)))*0.5)))))+(-PV(חישובים!$D$21/12,(('הנחות עסקה'!$D$72*'הנחות עסקה'!$I$70)/365*12),(-FV('מודל כלכלי'!$C$20,(7+(('הנחות עסקה'!$D$71-'הנחות עסקה'!$D$72)*'הנחות עסקה'!$I$70)/365),,'מודל כלכלי'!$C$53)))))*היוון!$C$26)),ROUND('מודל כלכלי'!$C$59*(1+0.04)^7,-4)))*'מודל כלכלי'!$C$14+'מודל כלכלי'!$C$70,-3))+(ROUND(-FV(חישובים!$D$22,7*12,'מודל כלכלי'!$C$55),-3))+(-'מודל כלכלי'!$C$45)+(-MAX(0,(IF('מודל כלכלי'!$C$26="פליפ",((-PV(חישובים!$D$21/12,(('הנחות עסקה'!$D$72*'הנחות עסקה'!$I$70)/365*12),(-FV('מודל כלכלי'!$C$20,(7+(('הנחות עסקה'!$D$71-'הנחות עסקה'!$D$72)*'הנחות עסקה'!$I$70)/365),,'מודל כלכלי'!$C$53))))+((0.07*(ROUND('מודל כלכלי'!$C$59*(1+0.04)^7,-4)))+(0.13*(ROUND('מודל כלכלי'!$C$59*(1+0.04)^7,-4)))+(-PV(חישובים!$D$21,((('הנחות עסקה'!$D$72*'הנחות עסקה'!$I$70)-30)/365),,((0.7*(ROUND('מודל כלכלי'!$C$59*(1+0.04)^7,-4)))+(((('הנחות עסקה'!$D$72*'הנחות עסקה'!$I$70)-30)/365)*חישובים!$D$23*(0.7*(ROUND('מודל כלכלי'!$C$59*(1+0.04)^7,-4)))*0.5))))+(-PV(חישובים!$D$21,(('הנחות עסקה'!$D$72*'הנחות עסקה'!$I$70)/365),,((0.1*(ROUND('מודל כלכלי'!$C$59*(1+0.04)^7,-4)))+((('הנחות עסקה'!$D$72*'הנחות עסקה'!$I$70)/365)*חישובים!$D$23*(0.1*(ROUND('מודל כלכלי'!$C$59*(1+0.04)^7,-4)))*0.5)))))+(-(((0.07*(ROUND('מודל כלכלי'!$C$59*(1+0.04)^7,-4)))+(0.13*(ROUND('מודל כלכלי'!$C$59*(1+0.04)^7,-4)))+(-PV(חישובים!$D$21,((('הנחות עסקה'!$D$72*'הנחות עסקה'!$I$70)-30)/365),,((0.7*(ROUND('מודל כלכלי'!$C$59*(1+0.04)^7,-4)))+(((('הנחות עסקה'!$D$72*'הנחות עסקה'!$I$70)-30)/365)*חישובים!$D$23*(0.7*(ROUND('מודל כלכלי'!$C$59*(1+0.04)^7,-4)))*0.5))))+(-PV(חישובים!$D$21,(('הנחות עסקה'!$D$72*'הנחות עסקה'!$I$70)/365),,((0.1*(ROUND('מודל כלכלי'!$C$59*(1+0.04)^7,-4)))+((('הנחות עסקה'!$D$72*'הנחות עסקה'!$I$70)/365)*חישובים!$D$23*(0.1*(ROUND('מודל כלכלי'!$C$59*(1+0.04)^7,-4)))*0.5)))))+(-PV(חישובים!$D$21/12,(('הנחות עסקה'!$D$72*'הנחות עסקה'!$I$70)/365*12),(-FV('מודל כלכלי'!$C$20,(7+(('הנחות עסקה'!$D$71-'הנחות עסקה'!$D$72)*'הנחות עסקה'!$I$70)/365),,'מודל כלכלי'!$C$53)))))*היוון!$C$26)),ROUND('מודל כלכלי'!$C$59*(1+0.04)^7,-4)))-(חישובים!$D$28*(1+חישובים!$D$29)^7))*0.25),-4)</f>
        <v>1790000</v>
      </c>
      <c r="E20" s="24">
        <f>ROUND((IF('מודל כלכלי'!$C$26="פליפ",((-PV(חישובים!$D$21/12,(('הנחות עסקה'!$D$72*'הנחות עסקה'!$I$70)/365*12),(-FV('מודל כלכלי'!$C$20,(8+(('הנחות עסקה'!$D$71-'הנחות עסקה'!$D$72)*'הנחות עסקה'!$I$70)/365),,'מודל כלכלי'!$C$53))))+((0.07*(ROUND('מודל כלכלי'!$C$59*(1+0.04)^8,-4)))+(0.13*(ROUND('מודל כלכלי'!$C$59*(1+0.04)^8,-4)))+(-PV(חישובים!$D$21,((('הנחות עסקה'!$D$72*'הנחות עסקה'!$I$70)-30)/365),,((0.7*(ROUND('מודל כלכלי'!$C$59*(1+0.04)^8,-4)))+(((('הנחות עסקה'!$D$72*'הנחות עסקה'!$I$70)-30)/365)*חישובים!$D$23*(0.7*(ROUND('מודל כלכלי'!$C$59*(1+0.04)^8,-4)))*0.5))))+(-PV(חישובים!$D$21,(('הנחות עסקה'!$D$72*'הנחות עסקה'!$I$70)/365),,((0.1*(ROUND('מודל כלכלי'!$C$59*(1+0.04)^8,-4)))+((('הנחות עסקה'!$D$72*'הנחות עסקה'!$I$70)/365)*חישובים!$D$23*(0.1*(ROUND('מודל כלכלי'!$C$59*(1+0.04)^8,-4)))*0.5)))))+(-(((0.07*(ROUND('מודל כלכלי'!$C$59*(1+0.04)^8,-4)))+(0.13*(ROUND('מודל כלכלי'!$C$59*(1+0.04)^8,-4)))+(-PV(חישובים!$D$21,((('הנחות עסקה'!$D$72*'הנחות עסקה'!$I$70)-30)/365),,((0.7*(ROUND('מודל כלכלי'!$C$59*(1+0.04)^8,-4)))+(((('הנחות עסקה'!$D$72*'הנחות עסקה'!$I$70)-30)/365)*חישובים!$D$23*(0.7*(ROUND('מודל כלכלי'!$C$59*(1+0.04)^8,-4)))*0.5))))+(-PV(חישובים!$D$21,(('הנחות עסקה'!$D$72*'הנחות עסקה'!$I$70)/365),,((0.1*(ROUND('מודל כלכלי'!$C$59*(1+0.04)^8,-4)))+((('הנחות עסקה'!$D$72*'הנחות עסקה'!$I$70)/365)*חישובים!$D$23*(0.1*(ROUND('מודל כלכלי'!$C$59*(1+0.04)^8,-4)))*0.5)))))+(-PV(חישובים!$D$21/12,(('הנחות עסקה'!$D$72*'הנחות עסקה'!$I$70)/365*12),(-FV('מודל כלכלי'!$C$20,(8+(('הנחות עסקה'!$D$71-'הנחות עסקה'!$D$72)*'הנחות עסקה'!$I$70)/365),,'מודל כלכלי'!$C$53)))))*היוון!$C$26)),ROUND('מודל כלכלי'!$C$59*(1+0.04)^8,-4)))+(ROUND(FV('מודל כלכלי'!$C$17/12,8*12,'מודל כלכלי'!$C$48,'מודל כלכלי'!$C$46),-4))+(ROUND(-'מודל כלכלי'!$C$66*(IF('מודל כלכלי'!$C$26="פליפ",((-PV(חישובים!$D$21/12,(('הנחות עסקה'!$D$72*'הנחות עסקה'!$I$70)/365*12),(-FV('מודל כלכלי'!$C$20,(8+(('הנחות עסקה'!$D$71-'הנחות עסקה'!$D$72)*'הנחות עסקה'!$I$70)/365),,'מודל כלכלי'!$C$53))))+((0.07*(ROUND('מודל כלכלי'!$C$59*(1+0.04)^8,-4)))+(0.13*(ROUND('מודל כלכלי'!$C$59*(1+0.04)^8,-4)))+(-PV(חישובים!$D$21,((('הנחות עסקה'!$D$72*'הנחות עסקה'!$I$70)-30)/365),,((0.7*(ROUND('מודל כלכלי'!$C$59*(1+0.04)^8,-4)))+(((('הנחות עסקה'!$D$72*'הנחות עסקה'!$I$70)-30)/365)*חישובים!$D$23*(0.7*(ROUND('מודל כלכלי'!$C$59*(1+0.04)^8,-4)))*0.5))))+(-PV(חישובים!$D$21,(('הנחות עסקה'!$D$72*'הנחות עסקה'!$I$70)/365),,((0.1*(ROUND('מודל כלכלי'!$C$59*(1+0.04)^8,-4)))+((('הנחות עסקה'!$D$72*'הנחות עסקה'!$I$70)/365)*חישובים!$D$23*(0.1*(ROUND('מודל כלכלי'!$C$59*(1+0.04)^8,-4)))*0.5)))))+(-(((0.07*(ROUND('מודל כלכלי'!$C$59*(1+0.04)^8,-4)))+(0.13*(ROUND('מודל כלכלי'!$C$59*(1+0.04)^8,-4)))+(-PV(חישובים!$D$21,((('הנחות עסקה'!$D$72*'הנחות עסקה'!$I$70)-30)/365),,((0.7*(ROUND('מודל כלכלי'!$C$59*(1+0.04)^8,-4)))+(((('הנחות עסקה'!$D$72*'הנחות עסקה'!$I$70)-30)/365)*חישובים!$D$23*(0.7*(ROUND('מודל כלכלי'!$C$59*(1+0.04)^8,-4)))*0.5))))+(-PV(חישובים!$D$21,(('הנחות עסקה'!$D$72*'הנחות עסקה'!$I$70)/365),,((0.1*(ROUND('מודל כלכלי'!$C$59*(1+0.04)^8,-4)))+((('הנחות עסקה'!$D$72*'הנחות עסקה'!$I$70)/365)*חישובים!$D$23*(0.1*(ROUND('מודל כלכלי'!$C$59*(1+0.04)^8,-4)))*0.5)))))+(-PV(חישובים!$D$21/12,(('הנחות עסקה'!$D$72*'הנחות עסקה'!$I$70)/365*12),(-FV('מודל כלכלי'!$C$20,(8+(('הנחות עסקה'!$D$71-'הנחות עסקה'!$D$72)*'הנחות עסקה'!$I$70)/365),,'מודל כלכלי'!$C$53)))))*היוון!$C$26)),ROUND('מודל כלכלי'!$C$59*(1+0.04)^8,-4)))*'מודל כלכלי'!$C$14-'מודל כלכלי'!$C$68*(IF('מודל כלכלי'!$C$26="פליפ",((-PV(חישובים!$D$21/12,(('הנחות עסקה'!$D$72*'הנחות עסקה'!$I$70)/365*12),(-FV('מודל כלכלי'!$C$20,(8+(('הנחות עסקה'!$D$71-'הנחות עסקה'!$D$72)*'הנחות עסקה'!$I$70)/365),,'מודל כלכלי'!$C$53))))+((0.07*(ROUND('מודל כלכלי'!$C$59*(1+0.04)^8,-4)))+(0.13*(ROUND('מודל כלכלי'!$C$59*(1+0.04)^8,-4)))+(-PV(חישובים!$D$21,((('הנחות עסקה'!$D$72*'הנחות עסקה'!$I$70)-30)/365),,((0.7*(ROUND('מודל כלכלי'!$C$59*(1+0.04)^8,-4)))+(((('הנחות עסקה'!$D$72*'הנחות עסקה'!$I$70)-30)/365)*חישובים!$D$23*(0.7*(ROUND('מודל כלכלי'!$C$59*(1+0.04)^8,-4)))*0.5))))+(-PV(חישובים!$D$21,(('הנחות עסקה'!$D$72*'הנחות עסקה'!$I$70)/365),,((0.1*(ROUND('מודל כלכלי'!$C$59*(1+0.04)^8,-4)))+((('הנחות עסקה'!$D$72*'הנחות עסקה'!$I$70)/365)*חישובים!$D$23*(0.1*(ROUND('מודל כלכלי'!$C$59*(1+0.04)^8,-4)))*0.5)))))+(-(((0.07*(ROUND('מודל כלכלי'!$C$59*(1+0.04)^8,-4)))+(0.13*(ROUND('מודל כלכלי'!$C$59*(1+0.04)^8,-4)))+(-PV(חישובים!$D$21,((('הנחות עסקה'!$D$72*'הנחות עסקה'!$I$70)-30)/365),,((0.7*(ROUND('מודל כלכלי'!$C$59*(1+0.04)^8,-4)))+(((('הנחות עסקה'!$D$72*'הנחות עסקה'!$I$70)-30)/365)*חישובים!$D$23*(0.7*(ROUND('מודל כלכלי'!$C$59*(1+0.04)^8,-4)))*0.5))))+(-PV(חישובים!$D$21,(('הנחות עסקה'!$D$72*'הנחות עסקה'!$I$70)/365),,((0.1*(ROUND('מודל כלכלי'!$C$59*(1+0.04)^8,-4)))+((('הנחות עסקה'!$D$72*'הנחות עסקה'!$I$70)/365)*חישובים!$D$23*(0.1*(ROUND('מודל כלכלי'!$C$59*(1+0.04)^8,-4)))*0.5)))))+(-PV(חישובים!$D$21/12,(('הנחות עסקה'!$D$72*'הנחות עסקה'!$I$70)/365*12),(-FV('מודל כלכלי'!$C$20,(8+(('הנחות עסקה'!$D$71-'הנחות עסקה'!$D$72)*'הנחות עסקה'!$I$70)/365),,'מודל כלכלי'!$C$53)))))*היוון!$C$26)),ROUND('מודל כלכלי'!$C$59*(1+0.04)^8,-4)))*'מודל כלכלי'!$C$14+'מודל כלכלי'!$C$70,-3))+(ROUND(-FV(חישובים!$D$22,8*12,'מודל כלכלי'!$C$55),-3))+(-'מודל כלכלי'!$C$45)+(-MAX(0,(IF('מודל כלכלי'!$C$26="פליפ",((-PV(חישובים!$D$21/12,(('הנחות עסקה'!$D$72*'הנחות עסקה'!$I$70)/365*12),(-FV('מודל כלכלי'!$C$20,(8+(('הנחות עסקה'!$D$71-'הנחות עסקה'!$D$72)*'הנחות עסקה'!$I$70)/365),,'מודל כלכלי'!$C$53))))+((0.07*(ROUND('מודל כלכלי'!$C$59*(1+0.04)^8,-4)))+(0.13*(ROUND('מודל כלכלי'!$C$59*(1+0.04)^8,-4)))+(-PV(חישובים!$D$21,((('הנחות עסקה'!$D$72*'הנחות עסקה'!$I$70)-30)/365),,((0.7*(ROUND('מודל כלכלי'!$C$59*(1+0.04)^8,-4)))+(((('הנחות עסקה'!$D$72*'הנחות עסקה'!$I$70)-30)/365)*חישובים!$D$23*(0.7*(ROUND('מודל כלכלי'!$C$59*(1+0.04)^8,-4)))*0.5))))+(-PV(חישובים!$D$21,(('הנחות עסקה'!$D$72*'הנחות עסקה'!$I$70)/365),,((0.1*(ROUND('מודל כלכלי'!$C$59*(1+0.04)^8,-4)))+((('הנחות עסקה'!$D$72*'הנחות עסקה'!$I$70)/365)*חישובים!$D$23*(0.1*(ROUND('מודל כלכלי'!$C$59*(1+0.04)^8,-4)))*0.5)))))+(-(((0.07*(ROUND('מודל כלכלי'!$C$59*(1+0.04)^8,-4)))+(0.13*(ROUND('מודל כלכלי'!$C$59*(1+0.04)^8,-4)))+(-PV(חישובים!$D$21,((('הנחות עסקה'!$D$72*'הנחות עסקה'!$I$70)-30)/365),,((0.7*(ROUND('מודל כלכלי'!$C$59*(1+0.04)^8,-4)))+(((('הנחות עסקה'!$D$72*'הנחות עסקה'!$I$70)-30)/365)*חישובים!$D$23*(0.7*(ROUND('מודל כלכלי'!$C$59*(1+0.04)^8,-4)))*0.5))))+(-PV(חישובים!$D$21,(('הנחות עסקה'!$D$72*'הנחות עסקה'!$I$70)/365),,((0.1*(ROUND('מודל כלכלי'!$C$59*(1+0.04)^8,-4)))+((('הנחות עסקה'!$D$72*'הנחות עסקה'!$I$70)/365)*חישובים!$D$23*(0.1*(ROUND('מודל כלכלי'!$C$59*(1+0.04)^8,-4)))*0.5)))))+(-PV(חישובים!$D$21/12,(('הנחות עסקה'!$D$72*'הנחות עסקה'!$I$70)/365*12),(-FV('מודל כלכלי'!$C$20,(8+(('הנחות עסקה'!$D$71-'הנחות עסקה'!$D$72)*'הנחות עסקה'!$I$70)/365),,'מודל כלכלי'!$C$53)))))*היוון!$C$26)),ROUND('מודל כלכלי'!$C$59*(1+0.04)^8,-4)))-(חישובים!$D$28*(1+חישובים!$D$29)^8))*0.25),-4)</f>
        <v>1930000</v>
      </c>
      <c r="F20" s="24">
        <f>ROUND((IF('מודל כלכלי'!$C$26="פליפ",((-PV(חישובים!$D$21/12,(('הנחות עסקה'!$D$72*'הנחות עסקה'!$I$70)/365*12),(-FV('מודל כלכלי'!$C$20,(9+(('הנחות עסקה'!$D$71-'הנחות עסקה'!$D$72)*'הנחות עסקה'!$I$70)/365),,'מודל כלכלי'!$C$53))))+((0.07*(ROUND('מודל כלכלי'!$C$59*(1+0.04)^9,-4)))+(0.13*(ROUND('מודל כלכלי'!$C$59*(1+0.04)^9,-4)))+(-PV(חישובים!$D$21,((('הנחות עסקה'!$D$72*'הנחות עסקה'!$I$70)-30)/365),,((0.7*(ROUND('מודל כלכלי'!$C$59*(1+0.04)^9,-4)))+(((('הנחות עסקה'!$D$72*'הנחות עסקה'!$I$70)-30)/365)*חישובים!$D$23*(0.7*(ROUND('מודל כלכלי'!$C$59*(1+0.04)^9,-4)))*0.5))))+(-PV(חישובים!$D$21,(('הנחות עסקה'!$D$72*'הנחות עסקה'!$I$70)/365),,((0.1*(ROUND('מודל כלכלי'!$C$59*(1+0.04)^9,-4)))+((('הנחות עסקה'!$D$72*'הנחות עסקה'!$I$70)/365)*חישובים!$D$23*(0.1*(ROUND('מודל כלכלי'!$C$59*(1+0.04)^9,-4)))*0.5)))))+(-(((0.07*(ROUND('מודל כלכלי'!$C$59*(1+0.04)^9,-4)))+(0.13*(ROUND('מודל כלכלי'!$C$59*(1+0.04)^9,-4)))+(-PV(חישובים!$D$21,((('הנחות עסקה'!$D$72*'הנחות עסקה'!$I$70)-30)/365),,((0.7*(ROUND('מודל כלכלי'!$C$59*(1+0.04)^9,-4)))+(((('הנחות עסקה'!$D$72*'הנחות עסקה'!$I$70)-30)/365)*חישובים!$D$23*(0.7*(ROUND('מודל כלכלי'!$C$59*(1+0.04)^9,-4)))*0.5))))+(-PV(חישובים!$D$21,(('הנחות עסקה'!$D$72*'הנחות עסקה'!$I$70)/365),,((0.1*(ROUND('מודל כלכלי'!$C$59*(1+0.04)^9,-4)))+((('הנחות עסקה'!$D$72*'הנחות עסקה'!$I$70)/365)*חישובים!$D$23*(0.1*(ROUND('מודל כלכלי'!$C$59*(1+0.04)^9,-4)))*0.5)))))+(-PV(חישובים!$D$21/12,(('הנחות עסקה'!$D$72*'הנחות עסקה'!$I$70)/365*12),(-FV('מודל כלכלי'!$C$20,(9+(('הנחות עסקה'!$D$71-'הנחות עסקה'!$D$72)*'הנחות עסקה'!$I$70)/365),,'מודל כלכלי'!$C$53)))))*היוון!$C$26)),ROUND('מודל כלכלי'!$C$59*(1+0.04)^9,-4)))+(ROUND(FV('מודל כלכלי'!$C$17/12,9*12,'מודל כלכלי'!$C$48,'מודל כלכלי'!$C$46),-4))+(ROUND(-'מודל כלכלי'!$C$66*(IF('מודל כלכלי'!$C$26="פליפ",((-PV(חישובים!$D$21/12,(('הנחות עסקה'!$D$72*'הנחות עסקה'!$I$70)/365*12),(-FV('מודל כלכלי'!$C$20,(9+(('הנחות עסקה'!$D$71-'הנחות עסקה'!$D$72)*'הנחות עסקה'!$I$70)/365),,'מודל כלכלי'!$C$53))))+((0.07*(ROUND('מודל כלכלי'!$C$59*(1+0.04)^9,-4)))+(0.13*(ROUND('מודל כלכלי'!$C$59*(1+0.04)^9,-4)))+(-PV(חישובים!$D$21,((('הנחות עסקה'!$D$72*'הנחות עסקה'!$I$70)-30)/365),,((0.7*(ROUND('מודל כלכלי'!$C$59*(1+0.04)^9,-4)))+(((('הנחות עסקה'!$D$72*'הנחות עסקה'!$I$70)-30)/365)*חישובים!$D$23*(0.7*(ROUND('מודל כלכלי'!$C$59*(1+0.04)^9,-4)))*0.5))))+(-PV(חישובים!$D$21,(('הנחות עסקה'!$D$72*'הנחות עסקה'!$I$70)/365),,((0.1*(ROUND('מודל כלכלי'!$C$59*(1+0.04)^9,-4)))+((('הנחות עסקה'!$D$72*'הנחות עסקה'!$I$70)/365)*חישובים!$D$23*(0.1*(ROUND('מודל כלכלי'!$C$59*(1+0.04)^9,-4)))*0.5)))))+(-(((0.07*(ROUND('מודל כלכלי'!$C$59*(1+0.04)^9,-4)))+(0.13*(ROUND('מודל כלכלי'!$C$59*(1+0.04)^9,-4)))+(-PV(חישובים!$D$21,((('הנחות עסקה'!$D$72*'הנחות עסקה'!$I$70)-30)/365),,((0.7*(ROUND('מודל כלכלי'!$C$59*(1+0.04)^9,-4)))+(((('הנחות עסקה'!$D$72*'הנחות עסקה'!$I$70)-30)/365)*חישובים!$D$23*(0.7*(ROUND('מודל כלכלי'!$C$59*(1+0.04)^9,-4)))*0.5))))+(-PV(חישובים!$D$21,(('הנחות עסקה'!$D$72*'הנחות עסקה'!$I$70)/365),,((0.1*(ROUND('מודל כלכלי'!$C$59*(1+0.04)^9,-4)))+((('הנחות עסקה'!$D$72*'הנחות עסקה'!$I$70)/365)*חישובים!$D$23*(0.1*(ROUND('מודל כלכלי'!$C$59*(1+0.04)^9,-4)))*0.5)))))+(-PV(חישובים!$D$21/12,(('הנחות עסקה'!$D$72*'הנחות עסקה'!$I$70)/365*12),(-FV('מודל כלכלי'!$C$20,(9+(('הנחות עסקה'!$D$71-'הנחות עסקה'!$D$72)*'הנחות עסקה'!$I$70)/365),,'מודל כלכלי'!$C$53)))))*היוון!$C$26)),ROUND('מודל כלכלי'!$C$59*(1+0.04)^9,-4)))*'מודל כלכלי'!$C$14-'מודל כלכלי'!$C$68*(IF('מודל כלכלי'!$C$26="פליפ",((-PV(חישובים!$D$21/12,(('הנחות עסקה'!$D$72*'הנחות עסקה'!$I$70)/365*12),(-FV('מודל כלכלי'!$C$20,(9+(('הנחות עסקה'!$D$71-'הנחות עסקה'!$D$72)*'הנחות עסקה'!$I$70)/365),,'מודל כלכלי'!$C$53))))+((0.07*(ROUND('מודל כלכלי'!$C$59*(1+0.04)^9,-4)))+(0.13*(ROUND('מודל כלכלי'!$C$59*(1+0.04)^9,-4)))+(-PV(חישובים!$D$21,((('הנחות עסקה'!$D$72*'הנחות עסקה'!$I$70)-30)/365),,((0.7*(ROUND('מודל כלכלי'!$C$59*(1+0.04)^9,-4)))+(((('הנחות עסקה'!$D$72*'הנחות עסקה'!$I$70)-30)/365)*חישובים!$D$23*(0.7*(ROUND('מודל כלכלי'!$C$59*(1+0.04)^9,-4)))*0.5))))+(-PV(חישובים!$D$21,(('הנחות עסקה'!$D$72*'הנחות עסקה'!$I$70)/365),,((0.1*(ROUND('מודל כלכלי'!$C$59*(1+0.04)^9,-4)))+((('הנחות עסקה'!$D$72*'הנחות עסקה'!$I$70)/365)*חישובים!$D$23*(0.1*(ROUND('מודל כלכלי'!$C$59*(1+0.04)^9,-4)))*0.5)))))+(-(((0.07*(ROUND('מודל כלכלי'!$C$59*(1+0.04)^9,-4)))+(0.13*(ROUND('מודל כלכלי'!$C$59*(1+0.04)^9,-4)))+(-PV(חישובים!$D$21,((('הנחות עסקה'!$D$72*'הנחות עסקה'!$I$70)-30)/365),,((0.7*(ROUND('מודל כלכלי'!$C$59*(1+0.04)^9,-4)))+(((('הנחות עסקה'!$D$72*'הנחות עסקה'!$I$70)-30)/365)*חישובים!$D$23*(0.7*(ROUND('מודל כלכלי'!$C$59*(1+0.04)^9,-4)))*0.5))))+(-PV(חישובים!$D$21,(('הנחות עסקה'!$D$72*'הנחות עסקה'!$I$70)/365),,((0.1*(ROUND('מודל כלכלי'!$C$59*(1+0.04)^9,-4)))+((('הנחות עסקה'!$D$72*'הנחות עסקה'!$I$70)/365)*חישובים!$D$23*(0.1*(ROUND('מודל כלכלי'!$C$59*(1+0.04)^9,-4)))*0.5)))))+(-PV(חישובים!$D$21/12,(('הנחות עסקה'!$D$72*'הנחות עסקה'!$I$70)/365*12),(-FV('מודל כלכלי'!$C$20,(9+(('הנחות עסקה'!$D$71-'הנחות עסקה'!$D$72)*'הנחות עסקה'!$I$70)/365),,'מודל כלכלי'!$C$53)))))*היוון!$C$26)),ROUND('מודל כלכלי'!$C$59*(1+0.04)^9,-4)))*'מודל כלכלי'!$C$14+'מודל כלכלי'!$C$70,-3))+(ROUND(-FV(חישובים!$D$22,9*12,'מודל כלכלי'!$C$55),-3))+(-'מודל כלכלי'!$C$45)+(-MAX(0,(IF('מודל כלכלי'!$C$26="פליפ",((-PV(חישובים!$D$21/12,(('הנחות עסקה'!$D$72*'הנחות עסקה'!$I$70)/365*12),(-FV('מודל כלכלי'!$C$20,(9+(('הנחות עסקה'!$D$71-'הנחות עסקה'!$D$72)*'הנחות עסקה'!$I$70)/365),,'מודל כלכלי'!$C$53))))+((0.07*(ROUND('מודל כלכלי'!$C$59*(1+0.04)^9,-4)))+(0.13*(ROUND('מודל כלכלי'!$C$59*(1+0.04)^9,-4)))+(-PV(חישובים!$D$21,((('הנחות עסקה'!$D$72*'הנחות עסקה'!$I$70)-30)/365),,((0.7*(ROUND('מודל כלכלי'!$C$59*(1+0.04)^9,-4)))+(((('הנחות עסקה'!$D$72*'הנחות עסקה'!$I$70)-30)/365)*חישובים!$D$23*(0.7*(ROUND('מודל כלכלי'!$C$59*(1+0.04)^9,-4)))*0.5))))+(-PV(חישובים!$D$21,(('הנחות עסקה'!$D$72*'הנחות עסקה'!$I$70)/365),,((0.1*(ROUND('מודל כלכלי'!$C$59*(1+0.04)^9,-4)))+((('הנחות עסקה'!$D$72*'הנחות עסקה'!$I$70)/365)*חישובים!$D$23*(0.1*(ROUND('מודל כלכלי'!$C$59*(1+0.04)^9,-4)))*0.5)))))+(-(((0.07*(ROUND('מודל כלכלי'!$C$59*(1+0.04)^9,-4)))+(0.13*(ROUND('מודל כלכלי'!$C$59*(1+0.04)^9,-4)))+(-PV(חישובים!$D$21,((('הנחות עסקה'!$D$72*'הנחות עסקה'!$I$70)-30)/365),,((0.7*(ROUND('מודל כלכלי'!$C$59*(1+0.04)^9,-4)))+(((('הנחות עסקה'!$D$72*'הנחות עסקה'!$I$70)-30)/365)*חישובים!$D$23*(0.7*(ROUND('מודל כלכלי'!$C$59*(1+0.04)^9,-4)))*0.5))))+(-PV(חישובים!$D$21,(('הנחות עסקה'!$D$72*'הנחות עסקה'!$I$70)/365),,((0.1*(ROUND('מודל כלכלי'!$C$59*(1+0.04)^9,-4)))+((('הנחות עסקה'!$D$72*'הנחות עסקה'!$I$70)/365)*חישובים!$D$23*(0.1*(ROUND('מודל כלכלי'!$C$59*(1+0.04)^9,-4)))*0.5)))))+(-PV(חישובים!$D$21/12,(('הנחות עסקה'!$D$72*'הנחות עסקה'!$I$70)/365*12),(-FV('מודל כלכלי'!$C$20,(9+(('הנחות עסקה'!$D$71-'הנחות עסקה'!$D$72)*'הנחות עסקה'!$I$70)/365),,'מודל כלכלי'!$C$53)))))*היוון!$C$26)),ROUND('מודל כלכלי'!$C$59*(1+0.04)^9,-4)))-(חישובים!$D$28*(1+חישובים!$D$29)^9))*0.25),-4)</f>
        <v>2080000</v>
      </c>
      <c r="G20" s="24">
        <f>ROUND((IF('מודל כלכלי'!$C$26="פליפ",((-PV(חישובים!$D$21/12,(('הנחות עסקה'!$D$72*'הנחות עסקה'!$I$70)/365*12),(-FV('מודל כלכלי'!$C$20,(10+(('הנחות עסקה'!$D$71-'הנחות עסקה'!$D$72)*'הנחות עסקה'!$I$70)/365),,'מודל כלכלי'!$C$53))))+((0.07*(ROUND('מודל כלכלי'!$C$59*(1+0.04)^10,-4)))+(0.13*(ROUND('מודל כלכלי'!$C$59*(1+0.04)^10,-4)))+(-PV(חישובים!$D$21,((('הנחות עסקה'!$D$72*'הנחות עסקה'!$I$70)-30)/365),,((0.7*(ROUND('מודל כלכלי'!$C$59*(1+0.04)^10,-4)))+(((('הנחות עסקה'!$D$72*'הנחות עסקה'!$I$70)-30)/365)*חישובים!$D$23*(0.7*(ROUND('מודל כלכלי'!$C$59*(1+0.04)^10,-4)))*0.5))))+(-PV(חישובים!$D$21,(('הנחות עסקה'!$D$72*'הנחות עסקה'!$I$70)/365),,((0.1*(ROUND('מודל כלכלי'!$C$59*(1+0.04)^10,-4)))+((('הנחות עסקה'!$D$72*'הנחות עסקה'!$I$70)/365)*חישובים!$D$23*(0.1*(ROUND('מודל כלכלי'!$C$59*(1+0.04)^10,-4)))*0.5)))))+(-(((0.07*(ROUND('מודל כלכלי'!$C$59*(1+0.04)^10,-4)))+(0.13*(ROUND('מודל כלכלי'!$C$59*(1+0.04)^10,-4)))+(-PV(חישובים!$D$21,((('הנחות עסקה'!$D$72*'הנחות עסקה'!$I$70)-30)/365),,((0.7*(ROUND('מודל כלכלי'!$C$59*(1+0.04)^10,-4)))+(((('הנחות עסקה'!$D$72*'הנחות עסקה'!$I$70)-30)/365)*חישובים!$D$23*(0.7*(ROUND('מודל כלכלי'!$C$59*(1+0.04)^10,-4)))*0.5))))+(-PV(חישובים!$D$21,(('הנחות עסקה'!$D$72*'הנחות עסקה'!$I$70)/365),,((0.1*(ROUND('מודל כלכלי'!$C$59*(1+0.04)^10,-4)))+((('הנחות עסקה'!$D$72*'הנחות עסקה'!$I$70)/365)*חישובים!$D$23*(0.1*(ROUND('מודל כלכלי'!$C$59*(1+0.04)^10,-4)))*0.5)))))+(-PV(חישובים!$D$21/12,(('הנחות עסקה'!$D$72*'הנחות עסקה'!$I$70)/365*12),(-FV('מודל כלכלי'!$C$20,(10+(('הנחות עסקה'!$D$71-'הנחות עסקה'!$D$72)*'הנחות עסקה'!$I$70)/365),,'מודל כלכלי'!$C$53)))))*היוון!$C$26)),ROUND('מודל כלכלי'!$C$59*(1+0.04)^10,-4)))+(ROUND(FV('מודל כלכלי'!$C$17/12,10*12,'מודל כלכלי'!$C$48,'מודל כלכלי'!$C$46),-4))+(ROUND(-'מודל כלכלי'!$C$66*(IF('מודל כלכלי'!$C$26="פליפ",((-PV(חישובים!$D$21/12,(('הנחות עסקה'!$D$72*'הנחות עסקה'!$I$70)/365*12),(-FV('מודל כלכלי'!$C$20,(10+(('הנחות עסקה'!$D$71-'הנחות עסקה'!$D$72)*'הנחות עסקה'!$I$70)/365),,'מודל כלכלי'!$C$53))))+((0.07*(ROUND('מודל כלכלי'!$C$59*(1+0.04)^10,-4)))+(0.13*(ROUND('מודל כלכלי'!$C$59*(1+0.04)^10,-4)))+(-PV(חישובים!$D$21,((('הנחות עסקה'!$D$72*'הנחות עסקה'!$I$70)-30)/365),,((0.7*(ROUND('מודל כלכלי'!$C$59*(1+0.04)^10,-4)))+(((('הנחות עסקה'!$D$72*'הנחות עסקה'!$I$70)-30)/365)*חישובים!$D$23*(0.7*(ROUND('מודל כלכלי'!$C$59*(1+0.04)^10,-4)))*0.5))))+(-PV(חישובים!$D$21,(('הנחות עסקה'!$D$72*'הנחות עסקה'!$I$70)/365),,((0.1*(ROUND('מודל כלכלי'!$C$59*(1+0.04)^10,-4)))+((('הנחות עסקה'!$D$72*'הנחות עסקה'!$I$70)/365)*חישובים!$D$23*(0.1*(ROUND('מודל כלכלי'!$C$59*(1+0.04)^10,-4)))*0.5)))))+(-(((0.07*(ROUND('מודל כלכלי'!$C$59*(1+0.04)^10,-4)))+(0.13*(ROUND('מודל כלכלי'!$C$59*(1+0.04)^10,-4)))+(-PV(חישובים!$D$21,((('הנחות עסקה'!$D$72*'הנחות עסקה'!$I$70)-30)/365),,((0.7*(ROUND('מודל כלכלי'!$C$59*(1+0.04)^10,-4)))+(((('הנחות עסקה'!$D$72*'הנחות עסקה'!$I$70)-30)/365)*חישובים!$D$23*(0.7*(ROUND('מודל כלכלי'!$C$59*(1+0.04)^10,-4)))*0.5))))+(-PV(חישובים!$D$21,(('הנחות עסקה'!$D$72*'הנחות עסקה'!$I$70)/365),,((0.1*(ROUND('מודל כלכלי'!$C$59*(1+0.04)^10,-4)))+((('הנחות עסקה'!$D$72*'הנחות עסקה'!$I$70)/365)*חישובים!$D$23*(0.1*(ROUND('מודל כלכלי'!$C$59*(1+0.04)^10,-4)))*0.5)))))+(-PV(חישובים!$D$21/12,(('הנחות עסקה'!$D$72*'הנחות עסקה'!$I$70)/365*12),(-FV('מודל כלכלי'!$C$20,(10+(('הנחות עסקה'!$D$71-'הנחות עסקה'!$D$72)*'הנחות עסקה'!$I$70)/365),,'מודל כלכלי'!$C$53)))))*היוון!$C$26)),ROUND('מודל כלכלי'!$C$59*(1+0.04)^10,-4)))*'מודל כלכלי'!$C$14-'מודל כלכלי'!$C$68*(IF('מודל כלכלי'!$C$26="פליפ",((-PV(חישובים!$D$21/12,(('הנחות עסקה'!$D$72*'הנחות עסקה'!$I$70)/365*12),(-FV('מודל כלכלי'!$C$20,(10+(('הנחות עסקה'!$D$71-'הנחות עסקה'!$D$72)*'הנחות עסקה'!$I$70)/365),,'מודל כלכלי'!$C$53))))+((0.07*(ROUND('מודל כלכלי'!$C$59*(1+0.04)^10,-4)))+(0.13*(ROUND('מודל כלכלי'!$C$59*(1+0.04)^10,-4)))+(-PV(חישובים!$D$21,((('הנחות עסקה'!$D$72*'הנחות עסקה'!$I$70)-30)/365),,((0.7*(ROUND('מודל כלכלי'!$C$59*(1+0.04)^10,-4)))+(((('הנחות עסקה'!$D$72*'הנחות עסקה'!$I$70)-30)/365)*חישובים!$D$23*(0.7*(ROUND('מודל כלכלי'!$C$59*(1+0.04)^10,-4)))*0.5))))+(-PV(חישובים!$D$21,(('הנחות עסקה'!$D$72*'הנחות עסקה'!$I$70)/365),,((0.1*(ROUND('מודל כלכלי'!$C$59*(1+0.04)^10,-4)))+((('הנחות עסקה'!$D$72*'הנחות עסקה'!$I$70)/365)*חישובים!$D$23*(0.1*(ROUND('מודל כלכלי'!$C$59*(1+0.04)^10,-4)))*0.5)))))+(-(((0.07*(ROUND('מודל כלכלי'!$C$59*(1+0.04)^10,-4)))+(0.13*(ROUND('מודל כלכלי'!$C$59*(1+0.04)^10,-4)))+(-PV(חישובים!$D$21,((('הנחות עסקה'!$D$72*'הנחות עסקה'!$I$70)-30)/365),,((0.7*(ROUND('מודל כלכלי'!$C$59*(1+0.04)^10,-4)))+(((('הנחות עסקה'!$D$72*'הנחות עסקה'!$I$70)-30)/365)*חישובים!$D$23*(0.7*(ROUND('מודל כלכלי'!$C$59*(1+0.04)^10,-4)))*0.5))))+(-PV(חישובים!$D$21,(('הנחות עסקה'!$D$72*'הנחות עסקה'!$I$70)/365),,((0.1*(ROUND('מודל כלכלי'!$C$59*(1+0.04)^10,-4)))+((('הנחות עסקה'!$D$72*'הנחות עסקה'!$I$70)/365)*חישובים!$D$23*(0.1*(ROUND('מודל כלכלי'!$C$59*(1+0.04)^10,-4)))*0.5)))))+(-PV(חישובים!$D$21/12,(('הנחות עסקה'!$D$72*'הנחות עסקה'!$I$70)/365*12),(-FV('מודל כלכלי'!$C$20,(10+(('הנחות עסקה'!$D$71-'הנחות עסקה'!$D$72)*'הנחות עסקה'!$I$70)/365),,'מודל כלכלי'!$C$53)))))*היוון!$C$26)),ROUND('מודל כלכלי'!$C$59*(1+0.04)^10,-4)))*'מודל כלכלי'!$C$14+'מודל כלכלי'!$C$70,-3))+(ROUND(-FV(חישובים!$D$22,10*12,'מודל כלכלי'!$C$55),-3))+(-'מודל כלכלי'!$C$45)+(-MAX(0,(IF('מודל כלכלי'!$C$26="פליפ",((-PV(חישובים!$D$21/12,(('הנחות עסקה'!$D$72*'הנחות עסקה'!$I$70)/365*12),(-FV('מודל כלכלי'!$C$20,(10+(('הנחות עסקה'!$D$71-'הנחות עסקה'!$D$72)*'הנחות עסקה'!$I$70)/365),,'מודל כלכלי'!$C$53))))+((0.07*(ROUND('מודל כלכלי'!$C$59*(1+0.04)^10,-4)))+(0.13*(ROUND('מודל כלכלי'!$C$59*(1+0.04)^10,-4)))+(-PV(חישובים!$D$21,((('הנחות עסקה'!$D$72*'הנחות עסקה'!$I$70)-30)/365),,((0.7*(ROUND('מודל כלכלי'!$C$59*(1+0.04)^10,-4)))+(((('הנחות עסקה'!$D$72*'הנחות עסקה'!$I$70)-30)/365)*חישובים!$D$23*(0.7*(ROUND('מודל כלכלי'!$C$59*(1+0.04)^10,-4)))*0.5))))+(-PV(חישובים!$D$21,(('הנחות עסקה'!$D$72*'הנחות עסקה'!$I$70)/365),,((0.1*(ROUND('מודל כלכלי'!$C$59*(1+0.04)^10,-4)))+((('הנחות עסקה'!$D$72*'הנחות עסקה'!$I$70)/365)*חישובים!$D$23*(0.1*(ROUND('מודל כלכלי'!$C$59*(1+0.04)^10,-4)))*0.5)))))+(-(((0.07*(ROUND('מודל כלכלי'!$C$59*(1+0.04)^10,-4)))+(0.13*(ROUND('מודל כלכלי'!$C$59*(1+0.04)^10,-4)))+(-PV(חישובים!$D$21,((('הנחות עסקה'!$D$72*'הנחות עסקה'!$I$70)-30)/365),,((0.7*(ROUND('מודל כלכלי'!$C$59*(1+0.04)^10,-4)))+(((('הנחות עסקה'!$D$72*'הנחות עסקה'!$I$70)-30)/365)*חישובים!$D$23*(0.7*(ROUND('מודל כלכלי'!$C$59*(1+0.04)^10,-4)))*0.5))))+(-PV(חישובים!$D$21,(('הנחות עסקה'!$D$72*'הנחות עסקה'!$I$70)/365),,((0.1*(ROUND('מודל כלכלי'!$C$59*(1+0.04)^10,-4)))+((('הנחות עסקה'!$D$72*'הנחות עסקה'!$I$70)/365)*חישובים!$D$23*(0.1*(ROUND('מודל כלכלי'!$C$59*(1+0.04)^10,-4)))*0.5)))))+(-PV(חישובים!$D$21/12,(('הנחות עסקה'!$D$72*'הנחות עסקה'!$I$70)/365*12),(-FV('מודל כלכלי'!$C$20,(10+(('הנחות עסקה'!$D$71-'הנחות עסקה'!$D$72)*'הנחות עסקה'!$I$70)/365),,'מודל כלכלי'!$C$53)))))*היוון!$C$26)),ROUND('מודל כלכלי'!$C$59*(1+0.04)^10,-4)))-(חישובים!$D$28*(1+חישובים!$D$29)^10))*0.25),-4)</f>
        <v>2240000</v>
      </c>
      <c r="H20" s="24">
        <f>ROUND((IF('מודל כלכלי'!$C$26="פליפ",((-PV(חישובים!$D$21/12,(('הנחות עסקה'!$D$72*'הנחות עסקה'!$I$70)/365*12),(-FV('מודל כלכלי'!$C$20,(11+(('הנחות עסקה'!$D$71-'הנחות עסקה'!$D$72)*'הנחות עסקה'!$I$70)/365),,'מודל כלכלי'!$C$53))))+((0.07*(ROUND('מודל כלכלי'!$C$59*(1+0.04)^11,-4)))+(0.13*(ROUND('מודל כלכלי'!$C$59*(1+0.04)^11,-4)))+(-PV(חישובים!$D$21,((('הנחות עסקה'!$D$72*'הנחות עסקה'!$I$70)-30)/365),,((0.7*(ROUND('מודל כלכלי'!$C$59*(1+0.04)^11,-4)))+(((('הנחות עסקה'!$D$72*'הנחות עסקה'!$I$70)-30)/365)*חישובים!$D$23*(0.7*(ROUND('מודל כלכלי'!$C$59*(1+0.04)^11,-4)))*0.5))))+(-PV(חישובים!$D$21,(('הנחות עסקה'!$D$72*'הנחות עסקה'!$I$70)/365),,((0.1*(ROUND('מודל כלכלי'!$C$59*(1+0.04)^11,-4)))+((('הנחות עסקה'!$D$72*'הנחות עסקה'!$I$70)/365)*חישובים!$D$23*(0.1*(ROUND('מודל כלכלי'!$C$59*(1+0.04)^11,-4)))*0.5)))))+(-(((0.07*(ROUND('מודל כלכלי'!$C$59*(1+0.04)^11,-4)))+(0.13*(ROUND('מודל כלכלי'!$C$59*(1+0.04)^11,-4)))+(-PV(חישובים!$D$21,((('הנחות עסקה'!$D$72*'הנחות עסקה'!$I$70)-30)/365),,((0.7*(ROUND('מודל כלכלי'!$C$59*(1+0.04)^11,-4)))+(((('הנחות עסקה'!$D$72*'הנחות עסקה'!$I$70)-30)/365)*חישובים!$D$23*(0.7*(ROUND('מודל כלכלי'!$C$59*(1+0.04)^11,-4)))*0.5))))+(-PV(חישובים!$D$21,(('הנחות עסקה'!$D$72*'הנחות עסקה'!$I$70)/365),,((0.1*(ROUND('מודל כלכלי'!$C$59*(1+0.04)^11,-4)))+((('הנחות עסקה'!$D$72*'הנחות עסקה'!$I$70)/365)*חישובים!$D$23*(0.1*(ROUND('מודל כלכלי'!$C$59*(1+0.04)^11,-4)))*0.5)))))+(-PV(חישובים!$D$21/12,(('הנחות עסקה'!$D$72*'הנחות עסקה'!$I$70)/365*12),(-FV('מודל כלכלי'!$C$20,(11+(('הנחות עסקה'!$D$71-'הנחות עסקה'!$D$72)*'הנחות עסקה'!$I$70)/365),,'מודל כלכלי'!$C$53)))))*היוון!$C$26)),ROUND('מודל כלכלי'!$C$59*(1+0.04)^11,-4)))+(ROUND(FV('מודל כלכלי'!$C$17/12,11*12,'מודל כלכלי'!$C$48,'מודל כלכלי'!$C$46),-4))+(ROUND(-'מודל כלכלי'!$C$66*(IF('מודל כלכלי'!$C$26="פליפ",((-PV(חישובים!$D$21/12,(('הנחות עסקה'!$D$72*'הנחות עסקה'!$I$70)/365*12),(-FV('מודל כלכלי'!$C$20,(11+(('הנחות עסקה'!$D$71-'הנחות עסקה'!$D$72)*'הנחות עסקה'!$I$70)/365),,'מודל כלכלי'!$C$53))))+((0.07*(ROUND('מודל כלכלי'!$C$59*(1+0.04)^11,-4)))+(0.13*(ROUND('מודל כלכלי'!$C$59*(1+0.04)^11,-4)))+(-PV(חישובים!$D$21,((('הנחות עסקה'!$D$72*'הנחות עסקה'!$I$70)-30)/365),,((0.7*(ROUND('מודל כלכלי'!$C$59*(1+0.04)^11,-4)))+(((('הנחות עסקה'!$D$72*'הנחות עסקה'!$I$70)-30)/365)*חישובים!$D$23*(0.7*(ROUND('מודל כלכלי'!$C$59*(1+0.04)^11,-4)))*0.5))))+(-PV(חישובים!$D$21,(('הנחות עסקה'!$D$72*'הנחות עסקה'!$I$70)/365),,((0.1*(ROUND('מודל כלכלי'!$C$59*(1+0.04)^11,-4)))+((('הנחות עסקה'!$D$72*'הנחות עסקה'!$I$70)/365)*חישובים!$D$23*(0.1*(ROUND('מודל כלכלי'!$C$59*(1+0.04)^11,-4)))*0.5)))))+(-(((0.07*(ROUND('מודל כלכלי'!$C$59*(1+0.04)^11,-4)))+(0.13*(ROUND('מודל כלכלי'!$C$59*(1+0.04)^11,-4)))+(-PV(חישובים!$D$21,((('הנחות עסקה'!$D$72*'הנחות עסקה'!$I$70)-30)/365),,((0.7*(ROUND('מודל כלכלי'!$C$59*(1+0.04)^11,-4)))+(((('הנחות עסקה'!$D$72*'הנחות עסקה'!$I$70)-30)/365)*חישובים!$D$23*(0.7*(ROUND('מודל כלכלי'!$C$59*(1+0.04)^11,-4)))*0.5))))+(-PV(חישובים!$D$21,(('הנחות עסקה'!$D$72*'הנחות עסקה'!$I$70)/365),,((0.1*(ROUND('מודל כלכלי'!$C$59*(1+0.04)^11,-4)))+((('הנחות עסקה'!$D$72*'הנחות עסקה'!$I$70)/365)*חישובים!$D$23*(0.1*(ROUND('מודל כלכלי'!$C$59*(1+0.04)^11,-4)))*0.5)))))+(-PV(חישובים!$D$21/12,(('הנחות עסקה'!$D$72*'הנחות עסקה'!$I$70)/365*12),(-FV('מודל כלכלי'!$C$20,(11+(('הנחות עסקה'!$D$71-'הנחות עסקה'!$D$72)*'הנחות עסקה'!$I$70)/365),,'מודל כלכלי'!$C$53)))))*היוון!$C$26)),ROUND('מודל כלכלי'!$C$59*(1+0.04)^11,-4)))*'מודל כלכלי'!$C$14-'מודל כלכלי'!$C$68*(IF('מודל כלכלי'!$C$26="פליפ",((-PV(חישובים!$D$21/12,(('הנחות עסקה'!$D$72*'הנחות עסקה'!$I$70)/365*12),(-FV('מודל כלכלי'!$C$20,(11+(('הנחות עסקה'!$D$71-'הנחות עסקה'!$D$72)*'הנחות עסקה'!$I$70)/365),,'מודל כלכלי'!$C$53))))+((0.07*(ROUND('מודל כלכלי'!$C$59*(1+0.04)^11,-4)))+(0.13*(ROUND('מודל כלכלי'!$C$59*(1+0.04)^11,-4)))+(-PV(חישובים!$D$21,((('הנחות עסקה'!$D$72*'הנחות עסקה'!$I$70)-30)/365),,((0.7*(ROUND('מודל כלכלי'!$C$59*(1+0.04)^11,-4)))+(((('הנחות עסקה'!$D$72*'הנחות עסקה'!$I$70)-30)/365)*חישובים!$D$23*(0.7*(ROUND('מודל כלכלי'!$C$59*(1+0.04)^11,-4)))*0.5))))+(-PV(חישובים!$D$21,(('הנחות עסקה'!$D$72*'הנחות עסקה'!$I$70)/365),,((0.1*(ROUND('מודל כלכלי'!$C$59*(1+0.04)^11,-4)))+((('הנחות עסקה'!$D$72*'הנחות עסקה'!$I$70)/365)*חישובים!$D$23*(0.1*(ROUND('מודל כלכלי'!$C$59*(1+0.04)^11,-4)))*0.5)))))+(-(((0.07*(ROUND('מודל כלכלי'!$C$59*(1+0.04)^11,-4)))+(0.13*(ROUND('מודל כלכלי'!$C$59*(1+0.04)^11,-4)))+(-PV(חישובים!$D$21,((('הנחות עסקה'!$D$72*'הנחות עסקה'!$I$70)-30)/365),,((0.7*(ROUND('מודל כלכלי'!$C$59*(1+0.04)^11,-4)))+(((('הנחות עסקה'!$D$72*'הנחות עסקה'!$I$70)-30)/365)*חישובים!$D$23*(0.7*(ROUND('מודל כלכלי'!$C$59*(1+0.04)^11,-4)))*0.5))))+(-PV(חישובים!$D$21,(('הנחות עסקה'!$D$72*'הנחות עסקה'!$I$70)/365),,((0.1*(ROUND('מודל כלכלי'!$C$59*(1+0.04)^11,-4)))+((('הנחות עסקה'!$D$72*'הנחות עסקה'!$I$70)/365)*חישובים!$D$23*(0.1*(ROUND('מודל כלכלי'!$C$59*(1+0.04)^11,-4)))*0.5)))))+(-PV(חישובים!$D$21/12,(('הנחות עסקה'!$D$72*'הנחות עסקה'!$I$70)/365*12),(-FV('מודל כלכלי'!$C$20,(11+(('הנחות עסקה'!$D$71-'הנחות עסקה'!$D$72)*'הנחות עסקה'!$I$70)/365),,'מודל כלכלי'!$C$53)))))*היוון!$C$26)),ROUND('מודל כלכלי'!$C$59*(1+0.04)^11,-4)))*'מודל כלכלי'!$C$14+'מודל כלכלי'!$C$70,-3))+(ROUND(-FV(חישובים!$D$22,11*12,'מודל כלכלי'!$C$55),-3))+(-'מודל כלכלי'!$C$45)+(-MAX(0,(IF('מודל כלכלי'!$C$26="פליפ",((-PV(חישובים!$D$21/12,(('הנחות עסקה'!$D$72*'הנחות עסקה'!$I$70)/365*12),(-FV('מודל כלכלי'!$C$20,(11+(('הנחות עסקה'!$D$71-'הנחות עסקה'!$D$72)*'הנחות עסקה'!$I$70)/365),,'מודל כלכלי'!$C$53))))+((0.07*(ROUND('מודל כלכלי'!$C$59*(1+0.04)^11,-4)))+(0.13*(ROUND('מודל כלכלי'!$C$59*(1+0.04)^11,-4)))+(-PV(חישובים!$D$21,((('הנחות עסקה'!$D$72*'הנחות עסקה'!$I$70)-30)/365),,((0.7*(ROUND('מודל כלכלי'!$C$59*(1+0.04)^11,-4)))+(((('הנחות עסקה'!$D$72*'הנחות עסקה'!$I$70)-30)/365)*חישובים!$D$23*(0.7*(ROUND('מודל כלכלי'!$C$59*(1+0.04)^11,-4)))*0.5))))+(-PV(חישובים!$D$21,(('הנחות עסקה'!$D$72*'הנחות עסקה'!$I$70)/365),,((0.1*(ROUND('מודל כלכלי'!$C$59*(1+0.04)^11,-4)))+((('הנחות עסקה'!$D$72*'הנחות עסקה'!$I$70)/365)*חישובים!$D$23*(0.1*(ROUND('מודל כלכלי'!$C$59*(1+0.04)^11,-4)))*0.5)))))+(-(((0.07*(ROUND('מודל כלכלי'!$C$59*(1+0.04)^11,-4)))+(0.13*(ROUND('מודל כלכלי'!$C$59*(1+0.04)^11,-4)))+(-PV(חישובים!$D$21,((('הנחות עסקה'!$D$72*'הנחות עסקה'!$I$70)-30)/365),,((0.7*(ROUND('מודל כלכלי'!$C$59*(1+0.04)^11,-4)))+(((('הנחות עסקה'!$D$72*'הנחות עסקה'!$I$70)-30)/365)*חישובים!$D$23*(0.7*(ROUND('מודל כלכלי'!$C$59*(1+0.04)^11,-4)))*0.5))))+(-PV(חישובים!$D$21,(('הנחות עסקה'!$D$72*'הנחות עסקה'!$I$70)/365),,((0.1*(ROUND('מודל כלכלי'!$C$59*(1+0.04)^11,-4)))+((('הנחות עסקה'!$D$72*'הנחות עסקה'!$I$70)/365)*חישובים!$D$23*(0.1*(ROUND('מודל כלכלי'!$C$59*(1+0.04)^11,-4)))*0.5)))))+(-PV(חישובים!$D$21/12,(('הנחות עסקה'!$D$72*'הנחות עסקה'!$I$70)/365*12),(-FV('מודל כלכלי'!$C$20,(11+(('הנחות עסקה'!$D$71-'הנחות עסקה'!$D$72)*'הנחות עסקה'!$I$70)/365),,'מודל כלכלי'!$C$53)))))*היוון!$C$26)),ROUND('מודל כלכלי'!$C$59*(1+0.04)^11,-4)))-(חישובים!$D$28*(1+חישובים!$D$29)^11))*0.25),-4)</f>
        <v>2390000</v>
      </c>
      <c r="I20" s="24">
        <f>ROUND((IF('מודל כלכלי'!$C$26="פליפ",((-PV(חישובים!$D$21/12,(('הנחות עסקה'!$D$72*'הנחות עסקה'!$I$70)/365*12),(-FV('מודל כלכלי'!$C$20,(12+(('הנחות עסקה'!$D$71-'הנחות עסקה'!$D$72)*'הנחות עסקה'!$I$70)/365),,'מודל כלכלי'!$C$53))))+((0.07*(ROUND('מודל כלכלי'!$C$59*(1+0.04)^12,-4)))+(0.13*(ROUND('מודל כלכלי'!$C$59*(1+0.04)^12,-4)))+(-PV(חישובים!$D$21,((('הנחות עסקה'!$D$72*'הנחות עסקה'!$I$70)-30)/365),,((0.7*(ROUND('מודל כלכלי'!$C$59*(1+0.04)^12,-4)))+(((('הנחות עסקה'!$D$72*'הנחות עסקה'!$I$70)-30)/365)*חישובים!$D$23*(0.7*(ROUND('מודל כלכלי'!$C$59*(1+0.04)^12,-4)))*0.5))))+(-PV(חישובים!$D$21,(('הנחות עסקה'!$D$72*'הנחות עסקה'!$I$70)/365),,((0.1*(ROUND('מודל כלכלי'!$C$59*(1+0.04)^12,-4)))+((('הנחות עסקה'!$D$72*'הנחות עסקה'!$I$70)/365)*חישובים!$D$23*(0.1*(ROUND('מודל כלכלי'!$C$59*(1+0.04)^12,-4)))*0.5)))))+(-(((0.07*(ROUND('מודל כלכלי'!$C$59*(1+0.04)^12,-4)))+(0.13*(ROUND('מודל כלכלי'!$C$59*(1+0.04)^12,-4)))+(-PV(חישובים!$D$21,((('הנחות עסקה'!$D$72*'הנחות עסקה'!$I$70)-30)/365),,((0.7*(ROUND('מודל כלכלי'!$C$59*(1+0.04)^12,-4)))+(((('הנחות עסקה'!$D$72*'הנחות עסקה'!$I$70)-30)/365)*חישובים!$D$23*(0.7*(ROUND('מודל כלכלי'!$C$59*(1+0.04)^12,-4)))*0.5))))+(-PV(חישובים!$D$21,(('הנחות עסקה'!$D$72*'הנחות עסקה'!$I$70)/365),,((0.1*(ROUND('מודל כלכלי'!$C$59*(1+0.04)^12,-4)))+((('הנחות עסקה'!$D$72*'הנחות עסקה'!$I$70)/365)*חישובים!$D$23*(0.1*(ROUND('מודל כלכלי'!$C$59*(1+0.04)^12,-4)))*0.5)))))+(-PV(חישובים!$D$21/12,(('הנחות עסקה'!$D$72*'הנחות עסקה'!$I$70)/365*12),(-FV('מודל כלכלי'!$C$20,(12+(('הנחות עסקה'!$D$71-'הנחות עסקה'!$D$72)*'הנחות עסקה'!$I$70)/365),,'מודל כלכלי'!$C$53)))))*היוון!$C$26)),ROUND('מודל כלכלי'!$C$59*(1+0.04)^12,-4)))+(ROUND(FV('מודל כלכלי'!$C$17/12,12*12,'מודל כלכלי'!$C$48,'מודל כלכלי'!$C$46),-4))+(ROUND(-'מודל כלכלי'!$C$66*(IF('מודל כלכלי'!$C$26="פליפ",((-PV(חישובים!$D$21/12,(('הנחות עסקה'!$D$72*'הנחות עסקה'!$I$70)/365*12),(-FV('מודל כלכלי'!$C$20,(12+(('הנחות עסקה'!$D$71-'הנחות עסקה'!$D$72)*'הנחות עסקה'!$I$70)/365),,'מודל כלכלי'!$C$53))))+((0.07*(ROUND('מודל כלכלי'!$C$59*(1+0.04)^12,-4)))+(0.13*(ROUND('מודל כלכלי'!$C$59*(1+0.04)^12,-4)))+(-PV(חישובים!$D$21,((('הנחות עסקה'!$D$72*'הנחות עסקה'!$I$70)-30)/365),,((0.7*(ROUND('מודל כלכלי'!$C$59*(1+0.04)^12,-4)))+(((('הנחות עסקה'!$D$72*'הנחות עסקה'!$I$70)-30)/365)*חישובים!$D$23*(0.7*(ROUND('מודל כלכלי'!$C$59*(1+0.04)^12,-4)))*0.5))))+(-PV(חישובים!$D$21,(('הנחות עסקה'!$D$72*'הנחות עסקה'!$I$70)/365),,((0.1*(ROUND('מודל כלכלי'!$C$59*(1+0.04)^12,-4)))+((('הנחות עסקה'!$D$72*'הנחות עסקה'!$I$70)/365)*חישובים!$D$23*(0.1*(ROUND('מודל כלכלי'!$C$59*(1+0.04)^12,-4)))*0.5)))))+(-(((0.07*(ROUND('מודל כלכלי'!$C$59*(1+0.04)^12,-4)))+(0.13*(ROUND('מודל כלכלי'!$C$59*(1+0.04)^12,-4)))+(-PV(חישובים!$D$21,((('הנחות עסקה'!$D$72*'הנחות עסקה'!$I$70)-30)/365),,((0.7*(ROUND('מודל כלכלי'!$C$59*(1+0.04)^12,-4)))+(((('הנחות עסקה'!$D$72*'הנחות עסקה'!$I$70)-30)/365)*חישובים!$D$23*(0.7*(ROUND('מודל כלכלי'!$C$59*(1+0.04)^12,-4)))*0.5))))+(-PV(חישובים!$D$21,(('הנחות עסקה'!$D$72*'הנחות עסקה'!$I$70)/365),,((0.1*(ROUND('מודל כלכלי'!$C$59*(1+0.04)^12,-4)))+((('הנחות עסקה'!$D$72*'הנחות עסקה'!$I$70)/365)*חישובים!$D$23*(0.1*(ROUND('מודל כלכלי'!$C$59*(1+0.04)^12,-4)))*0.5)))))+(-PV(חישובים!$D$21/12,(('הנחות עסקה'!$D$72*'הנחות עסקה'!$I$70)/365*12),(-FV('מודל כלכלי'!$C$20,(12+(('הנחות עסקה'!$D$71-'הנחות עסקה'!$D$72)*'הנחות עסקה'!$I$70)/365),,'מודל כלכלי'!$C$53)))))*היוון!$C$26)),ROUND('מודל כלכלי'!$C$59*(1+0.04)^12,-4)))*'מודל כלכלי'!$C$14-'מודל כלכלי'!$C$68*(IF('מודל כלכלי'!$C$26="פליפ",((-PV(חישובים!$D$21/12,(('הנחות עסקה'!$D$72*'הנחות עסקה'!$I$70)/365*12),(-FV('מודל כלכלי'!$C$20,(12+(('הנחות עסקה'!$D$71-'הנחות עסקה'!$D$72)*'הנחות עסקה'!$I$70)/365),,'מודל כלכלי'!$C$53))))+((0.07*(ROUND('מודל כלכלי'!$C$59*(1+0.04)^12,-4)))+(0.13*(ROUND('מודל כלכלי'!$C$59*(1+0.04)^12,-4)))+(-PV(חישובים!$D$21,((('הנחות עסקה'!$D$72*'הנחות עסקה'!$I$70)-30)/365),,((0.7*(ROUND('מודל כלכלי'!$C$59*(1+0.04)^12,-4)))+(((('הנחות עסקה'!$D$72*'הנחות עסקה'!$I$70)-30)/365)*חישובים!$D$23*(0.7*(ROUND('מודל כלכלי'!$C$59*(1+0.04)^12,-4)))*0.5))))+(-PV(חישובים!$D$21,(('הנחות עסקה'!$D$72*'הנחות עסקה'!$I$70)/365),,((0.1*(ROUND('מודל כלכלי'!$C$59*(1+0.04)^12,-4)))+((('הנחות עסקה'!$D$72*'הנחות עסקה'!$I$70)/365)*חישובים!$D$23*(0.1*(ROUND('מודל כלכלי'!$C$59*(1+0.04)^12,-4)))*0.5)))))+(-(((0.07*(ROUND('מודל כלכלי'!$C$59*(1+0.04)^12,-4)))+(0.13*(ROUND('מודל כלכלי'!$C$59*(1+0.04)^12,-4)))+(-PV(חישובים!$D$21,((('הנחות עסקה'!$D$72*'הנחות עסקה'!$I$70)-30)/365),,((0.7*(ROUND('מודל כלכלי'!$C$59*(1+0.04)^12,-4)))+(((('הנחות עסקה'!$D$72*'הנחות עסקה'!$I$70)-30)/365)*חישובים!$D$23*(0.7*(ROUND('מודל כלכלי'!$C$59*(1+0.04)^12,-4)))*0.5))))+(-PV(חישובים!$D$21,(('הנחות עסקה'!$D$72*'הנחות עסקה'!$I$70)/365),,((0.1*(ROUND('מודל כלכלי'!$C$59*(1+0.04)^12,-4)))+((('הנחות עסקה'!$D$72*'הנחות עסקה'!$I$70)/365)*חישובים!$D$23*(0.1*(ROUND('מודל כלכלי'!$C$59*(1+0.04)^12,-4)))*0.5)))))+(-PV(חישובים!$D$21/12,(('הנחות עסקה'!$D$72*'הנחות עסקה'!$I$70)/365*12),(-FV('מודל כלכלי'!$C$20,(12+(('הנחות עסקה'!$D$71-'הנחות עסקה'!$D$72)*'הנחות עסקה'!$I$70)/365),,'מודל כלכלי'!$C$53)))))*היוון!$C$26)),ROUND('מודל כלכלי'!$C$59*(1+0.04)^12,-4)))*'מודל כלכלי'!$C$14+'מודל כלכלי'!$C$70,-3))+(ROUND(-FV(חישובים!$D$22,12*12,'מודל כלכלי'!$C$55),-3))+(-'מודל כלכלי'!$C$45)+(-MAX(0,(IF('מודל כלכלי'!$C$26="פליפ",((-PV(חישובים!$D$21/12,(('הנחות עסקה'!$D$72*'הנחות עסקה'!$I$70)/365*12),(-FV('מודל כלכלי'!$C$20,(12+(('הנחות עסקה'!$D$71-'הנחות עסקה'!$D$72)*'הנחות עסקה'!$I$70)/365),,'מודל כלכלי'!$C$53))))+((0.07*(ROUND('מודל כלכלי'!$C$59*(1+0.04)^12,-4)))+(0.13*(ROUND('מודל כלכלי'!$C$59*(1+0.04)^12,-4)))+(-PV(חישובים!$D$21,((('הנחות עסקה'!$D$72*'הנחות עסקה'!$I$70)-30)/365),,((0.7*(ROUND('מודל כלכלי'!$C$59*(1+0.04)^12,-4)))+(((('הנחות עסקה'!$D$72*'הנחות עסקה'!$I$70)-30)/365)*חישובים!$D$23*(0.7*(ROUND('מודל כלכלי'!$C$59*(1+0.04)^12,-4)))*0.5))))+(-PV(חישובים!$D$21,(('הנחות עסקה'!$D$72*'הנחות עסקה'!$I$70)/365),,((0.1*(ROUND('מודל כלכלי'!$C$59*(1+0.04)^12,-4)))+((('הנחות עסקה'!$D$72*'הנחות עסקה'!$I$70)/365)*חישובים!$D$23*(0.1*(ROUND('מודל כלכלי'!$C$59*(1+0.04)^12,-4)))*0.5)))))+(-(((0.07*(ROUND('מודל כלכלי'!$C$59*(1+0.04)^12,-4)))+(0.13*(ROUND('מודל כלכלי'!$C$59*(1+0.04)^12,-4)))+(-PV(חישובים!$D$21,((('הנחות עסקה'!$D$72*'הנחות עסקה'!$I$70)-30)/365),,((0.7*(ROUND('מודל כלכלי'!$C$59*(1+0.04)^12,-4)))+(((('הנחות עסקה'!$D$72*'הנחות עסקה'!$I$70)-30)/365)*חישובים!$D$23*(0.7*(ROUND('מודל כלכלי'!$C$59*(1+0.04)^12,-4)))*0.5))))+(-PV(חישובים!$D$21,(('הנחות עסקה'!$D$72*'הנחות עסקה'!$I$70)/365),,((0.1*(ROUND('מודל כלכלי'!$C$59*(1+0.04)^12,-4)))+((('הנחות עסקה'!$D$72*'הנחות עסקה'!$I$70)/365)*חישובים!$D$23*(0.1*(ROUND('מודל כלכלי'!$C$59*(1+0.04)^12,-4)))*0.5)))))+(-PV(חישובים!$D$21/12,(('הנחות עסקה'!$D$72*'הנחות עסקה'!$I$70)/365*12),(-FV('מודל כלכלי'!$C$20,(12+(('הנחות עסקה'!$D$71-'הנחות עסקה'!$D$72)*'הנחות עסקה'!$I$70)/365),,'מודל כלכלי'!$C$53)))))*היוון!$C$26)),ROUND('מודל כלכלי'!$C$59*(1+0.04)^12,-4)))-(חישובים!$D$28*(1+חישובים!$D$29)^12))*0.25),-4)</f>
        <v>2560000</v>
      </c>
      <c r="J20" s="24">
        <f>ROUND((IF('מודל כלכלי'!$C$26="פליפ",((-PV(חישובים!$D$21/12,(('הנחות עסקה'!$D$72*'הנחות עסקה'!$I$70)/365*12),(-FV('מודל כלכלי'!$C$20,(13+(('הנחות עסקה'!$D$71-'הנחות עסקה'!$D$72)*'הנחות עסקה'!$I$70)/365),,'מודל כלכלי'!$C$53))))+((0.07*(ROUND('מודל כלכלי'!$C$59*(1+0.04)^13,-4)))+(0.13*(ROUND('מודל כלכלי'!$C$59*(1+0.04)^13,-4)))+(-PV(חישובים!$D$21,((('הנחות עסקה'!$D$72*'הנחות עסקה'!$I$70)-30)/365),,((0.7*(ROUND('מודל כלכלי'!$C$59*(1+0.04)^13,-4)))+(((('הנחות עסקה'!$D$72*'הנחות עסקה'!$I$70)-30)/365)*חישובים!$D$23*(0.7*(ROUND('מודל כלכלי'!$C$59*(1+0.04)^13,-4)))*0.5))))+(-PV(חישובים!$D$21,(('הנחות עסקה'!$D$72*'הנחות עסקה'!$I$70)/365),,((0.1*(ROUND('מודל כלכלי'!$C$59*(1+0.04)^13,-4)))+((('הנחות עסקה'!$D$72*'הנחות עסקה'!$I$70)/365)*חישובים!$D$23*(0.1*(ROUND('מודל כלכלי'!$C$59*(1+0.04)^13,-4)))*0.5)))))+(-(((0.07*(ROUND('מודל כלכלי'!$C$59*(1+0.04)^13,-4)))+(0.13*(ROUND('מודל כלכלי'!$C$59*(1+0.04)^13,-4)))+(-PV(חישובים!$D$21,((('הנחות עסקה'!$D$72*'הנחות עסקה'!$I$70)-30)/365),,((0.7*(ROUND('מודל כלכלי'!$C$59*(1+0.04)^13,-4)))+(((('הנחות עסקה'!$D$72*'הנחות עסקה'!$I$70)-30)/365)*חישובים!$D$23*(0.7*(ROUND('מודל כלכלי'!$C$59*(1+0.04)^13,-4)))*0.5))))+(-PV(חישובים!$D$21,(('הנחות עסקה'!$D$72*'הנחות עסקה'!$I$70)/365),,((0.1*(ROUND('מודל כלכלי'!$C$59*(1+0.04)^13,-4)))+((('הנחות עסקה'!$D$72*'הנחות עסקה'!$I$70)/365)*חישובים!$D$23*(0.1*(ROUND('מודל כלכלי'!$C$59*(1+0.04)^13,-4)))*0.5)))))+(-PV(חישובים!$D$21/12,(('הנחות עסקה'!$D$72*'הנחות עסקה'!$I$70)/365*12),(-FV('מודל כלכלי'!$C$20,(13+(('הנחות עסקה'!$D$71-'הנחות עסקה'!$D$72)*'הנחות עסקה'!$I$70)/365),,'מודל כלכלי'!$C$53)))))*היוון!$C$26)),ROUND('מודל כלכלי'!$C$59*(1+0.04)^13,-4)))+(ROUND(FV('מודל כלכלי'!$C$17/12,13*12,'מודל כלכלי'!$C$48,'מודל כלכלי'!$C$46),-4))+(ROUND(-'מודל כלכלי'!$C$66*(IF('מודל כלכלי'!$C$26="פליפ",((-PV(חישובים!$D$21/12,(('הנחות עסקה'!$D$72*'הנחות עסקה'!$I$70)/365*12),(-FV('מודל כלכלי'!$C$20,(13+(('הנחות עסקה'!$D$71-'הנחות עסקה'!$D$72)*'הנחות עסקה'!$I$70)/365),,'מודל כלכלי'!$C$53))))+((0.07*(ROUND('מודל כלכלי'!$C$59*(1+0.04)^13,-4)))+(0.13*(ROUND('מודל כלכלי'!$C$59*(1+0.04)^13,-4)))+(-PV(חישובים!$D$21,((('הנחות עסקה'!$D$72*'הנחות עסקה'!$I$70)-30)/365),,((0.7*(ROUND('מודל כלכלי'!$C$59*(1+0.04)^13,-4)))+(((('הנחות עסקה'!$D$72*'הנחות עסקה'!$I$70)-30)/365)*חישובים!$D$23*(0.7*(ROUND('מודל כלכלי'!$C$59*(1+0.04)^13,-4)))*0.5))))+(-PV(חישובים!$D$21,(('הנחות עסקה'!$D$72*'הנחות עסקה'!$I$70)/365),,((0.1*(ROUND('מודל כלכלי'!$C$59*(1+0.04)^13,-4)))+((('הנחות עסקה'!$D$72*'הנחות עסקה'!$I$70)/365)*חישובים!$D$23*(0.1*(ROUND('מודל כלכלי'!$C$59*(1+0.04)^13,-4)))*0.5)))))+(-(((0.07*(ROUND('מודל כלכלי'!$C$59*(1+0.04)^13,-4)))+(0.13*(ROUND('מודל כלכלי'!$C$59*(1+0.04)^13,-4)))+(-PV(חישובים!$D$21,((('הנחות עסקה'!$D$72*'הנחות עסקה'!$I$70)-30)/365),,((0.7*(ROUND('מודל כלכלי'!$C$59*(1+0.04)^13,-4)))+(((('הנחות עסקה'!$D$72*'הנחות עסקה'!$I$70)-30)/365)*חישובים!$D$23*(0.7*(ROUND('מודל כלכלי'!$C$59*(1+0.04)^13,-4)))*0.5))))+(-PV(חישובים!$D$21,(('הנחות עסקה'!$D$72*'הנחות עסקה'!$I$70)/365),,((0.1*(ROUND('מודל כלכלי'!$C$59*(1+0.04)^13,-4)))+((('הנחות עסקה'!$D$72*'הנחות עסקה'!$I$70)/365)*חישובים!$D$23*(0.1*(ROUND('מודל כלכלי'!$C$59*(1+0.04)^13,-4)))*0.5)))))+(-PV(חישובים!$D$21/12,(('הנחות עסקה'!$D$72*'הנחות עסקה'!$I$70)/365*12),(-FV('מודל כלכלי'!$C$20,(13+(('הנחות עסקה'!$D$71-'הנחות עסקה'!$D$72)*'הנחות עסקה'!$I$70)/365),,'מודל כלכלי'!$C$53)))))*היוון!$C$26)),ROUND('מודל כלכלי'!$C$59*(1+0.04)^13,-4)))*'מודל כלכלי'!$C$14-'מודל כלכלי'!$C$68*(IF('מודל כלכלי'!$C$26="פליפ",((-PV(חישובים!$D$21/12,(('הנחות עסקה'!$D$72*'הנחות עסקה'!$I$70)/365*12),(-FV('מודל כלכלי'!$C$20,(13+(('הנחות עסקה'!$D$71-'הנחות עסקה'!$D$72)*'הנחות עסקה'!$I$70)/365),,'מודל כלכלי'!$C$53))))+((0.07*(ROUND('מודל כלכלי'!$C$59*(1+0.04)^13,-4)))+(0.13*(ROUND('מודל כלכלי'!$C$59*(1+0.04)^13,-4)))+(-PV(חישובים!$D$21,((('הנחות עסקה'!$D$72*'הנחות עסקה'!$I$70)-30)/365),,((0.7*(ROUND('מודל כלכלי'!$C$59*(1+0.04)^13,-4)))+(((('הנחות עסקה'!$D$72*'הנחות עסקה'!$I$70)-30)/365)*חישובים!$D$23*(0.7*(ROUND('מודל כלכלי'!$C$59*(1+0.04)^13,-4)))*0.5))))+(-PV(חישובים!$D$21,(('הנחות עסקה'!$D$72*'הנחות עסקה'!$I$70)/365),,((0.1*(ROUND('מודל כלכלי'!$C$59*(1+0.04)^13,-4)))+((('הנחות עסקה'!$D$72*'הנחות עסקה'!$I$70)/365)*חישובים!$D$23*(0.1*(ROUND('מודל כלכלי'!$C$59*(1+0.04)^13,-4)))*0.5)))))+(-(((0.07*(ROUND('מודל כלכלי'!$C$59*(1+0.04)^13,-4)))+(0.13*(ROUND('מודל כלכלי'!$C$59*(1+0.04)^13,-4)))+(-PV(חישובים!$D$21,((('הנחות עסקה'!$D$72*'הנחות עסקה'!$I$70)-30)/365),,((0.7*(ROUND('מודל כלכלי'!$C$59*(1+0.04)^13,-4)))+(((('הנחות עסקה'!$D$72*'הנחות עסקה'!$I$70)-30)/365)*חישובים!$D$23*(0.7*(ROUND('מודל כלכלי'!$C$59*(1+0.04)^13,-4)))*0.5))))+(-PV(חישובים!$D$21,(('הנחות עסקה'!$D$72*'הנחות עסקה'!$I$70)/365),,((0.1*(ROUND('מודל כלכלי'!$C$59*(1+0.04)^13,-4)))+((('הנחות עסקה'!$D$72*'הנחות עסקה'!$I$70)/365)*חישובים!$D$23*(0.1*(ROUND('מודל כלכלי'!$C$59*(1+0.04)^13,-4)))*0.5)))))+(-PV(חישובים!$D$21/12,(('הנחות עסקה'!$D$72*'הנחות עסקה'!$I$70)/365*12),(-FV('מודל כלכלי'!$C$20,(13+(('הנחות עסקה'!$D$71-'הנחות עסקה'!$D$72)*'הנחות עסקה'!$I$70)/365),,'מודל כלכלי'!$C$53)))))*היוון!$C$26)),ROUND('מודל כלכלי'!$C$59*(1+0.04)^13,-4)))*'מודל כלכלי'!$C$14+'מודל כלכלי'!$C$70,-3))+(ROUND(-FV(חישובים!$D$22,13*12,'מודל כלכלי'!$C$55),-3))+(-'מודל כלכלי'!$C$45)+(-MAX(0,(IF('מודל כלכלי'!$C$26="פליפ",((-PV(חישובים!$D$21/12,(('הנחות עסקה'!$D$72*'הנחות עסקה'!$I$70)/365*12),(-FV('מודל כלכלי'!$C$20,(13+(('הנחות עסקה'!$D$71-'הנחות עסקה'!$D$72)*'הנחות עסקה'!$I$70)/365),,'מודל כלכלי'!$C$53))))+((0.07*(ROUND('מודל כלכלי'!$C$59*(1+0.04)^13,-4)))+(0.13*(ROUND('מודל כלכלי'!$C$59*(1+0.04)^13,-4)))+(-PV(חישובים!$D$21,((('הנחות עסקה'!$D$72*'הנחות עסקה'!$I$70)-30)/365),,((0.7*(ROUND('מודל כלכלי'!$C$59*(1+0.04)^13,-4)))+(((('הנחות עסקה'!$D$72*'הנחות עסקה'!$I$70)-30)/365)*חישובים!$D$23*(0.7*(ROUND('מודל כלכלי'!$C$59*(1+0.04)^13,-4)))*0.5))))+(-PV(חישובים!$D$21,(('הנחות עסקה'!$D$72*'הנחות עסקה'!$I$70)/365),,((0.1*(ROUND('מודל כלכלי'!$C$59*(1+0.04)^13,-4)))+((('הנחות עסקה'!$D$72*'הנחות עסקה'!$I$70)/365)*חישובים!$D$23*(0.1*(ROUND('מודל כלכלי'!$C$59*(1+0.04)^13,-4)))*0.5)))))+(-(((0.07*(ROUND('מודל כלכלי'!$C$59*(1+0.04)^13,-4)))+(0.13*(ROUND('מודל כלכלי'!$C$59*(1+0.04)^13,-4)))+(-PV(חישובים!$D$21,((('הנחות עסקה'!$D$72*'הנחות עסקה'!$I$70)-30)/365),,((0.7*(ROUND('מודל כלכלי'!$C$59*(1+0.04)^13,-4)))+(((('הנחות עסקה'!$D$72*'הנחות עסקה'!$I$70)-30)/365)*חישובים!$D$23*(0.7*(ROUND('מודל כלכלי'!$C$59*(1+0.04)^13,-4)))*0.5))))+(-PV(חישובים!$D$21,(('הנחות עסקה'!$D$72*'הנחות עסקה'!$I$70)/365),,((0.1*(ROUND('מודל כלכלי'!$C$59*(1+0.04)^13,-4)))+((('הנחות עסקה'!$D$72*'הנחות עסקה'!$I$70)/365)*חישובים!$D$23*(0.1*(ROUND('מודל כלכלי'!$C$59*(1+0.04)^13,-4)))*0.5)))))+(-PV(חישובים!$D$21/12,(('הנחות עסקה'!$D$72*'הנחות עסקה'!$I$70)/365*12),(-FV('מודל כלכלי'!$C$20,(13+(('הנחות עסקה'!$D$71-'הנחות עסקה'!$D$72)*'הנחות עסקה'!$I$70)/365),,'מודל כלכלי'!$C$53)))))*היוון!$C$26)),ROUND('מודל כלכלי'!$C$59*(1+0.04)^13,-4)))-(חישובים!$D$28*(1+חישובים!$D$29)^13))*0.25),-4)</f>
        <v>2730000</v>
      </c>
    </row>
    <row r="21" spans="2:10" ht="15" customHeight="1">
      <c r="B21" s="74">
        <v>0.05</v>
      </c>
      <c r="C21" s="24">
        <f>ROUND((IF('מודל כלכלי'!$C$26="פליפ",((-PV(חישובים!$D$21/12,(('הנחות עסקה'!$D$72*'הנחות עסקה'!$I$70)/365*12),(-FV('מודל כלכלי'!$C$20,(6+(('הנחות עסקה'!$D$71-'הנחות עסקה'!$D$72)*'הנחות עסקה'!$I$70)/365),,'מודל כלכלי'!$C$53))))+((0.07*(ROUND('מודל כלכלי'!$C$59*(1+0.05)^6,-4)))+(0.13*(ROUND('מודל כלכלי'!$C$59*(1+0.05)^6,-4)))+(-PV(חישובים!$D$21,((('הנחות עסקה'!$D$72*'הנחות עסקה'!$I$70)-30)/365),,((0.7*(ROUND('מודל כלכלי'!$C$59*(1+0.05)^6,-4)))+(((('הנחות עסקה'!$D$72*'הנחות עסקה'!$I$70)-30)/365)*חישובים!$D$23*(0.7*(ROUND('מודל כלכלי'!$C$59*(1+0.05)^6,-4)))*0.5))))+(-PV(חישובים!$D$21,(('הנחות עסקה'!$D$72*'הנחות עסקה'!$I$70)/365),,((0.1*(ROUND('מודל כלכלי'!$C$59*(1+0.05)^6,-4)))+((('הנחות עסקה'!$D$72*'הנחות עסקה'!$I$70)/365)*חישובים!$D$23*(0.1*(ROUND('מודל כלכלי'!$C$59*(1+0.05)^6,-4)))*0.5)))))+(-(((0.07*(ROUND('מודל כלכלי'!$C$59*(1+0.05)^6,-4)))+(0.13*(ROUND('מודל כלכלי'!$C$59*(1+0.05)^6,-4)))+(-PV(חישובים!$D$21,((('הנחות עסקה'!$D$72*'הנחות עסקה'!$I$70)-30)/365),,((0.7*(ROUND('מודל כלכלי'!$C$59*(1+0.05)^6,-4)))+(((('הנחות עסקה'!$D$72*'הנחות עסקה'!$I$70)-30)/365)*חישובים!$D$23*(0.7*(ROUND('מודל כלכלי'!$C$59*(1+0.05)^6,-4)))*0.5))))+(-PV(חישובים!$D$21,(('הנחות עסקה'!$D$72*'הנחות עסקה'!$I$70)/365),,((0.1*(ROUND('מודל כלכלי'!$C$59*(1+0.05)^6,-4)))+((('הנחות עסקה'!$D$72*'הנחות עסקה'!$I$70)/365)*חישובים!$D$23*(0.1*(ROUND('מודל כלכלי'!$C$59*(1+0.05)^6,-4)))*0.5)))))+(-PV(חישובים!$D$21/12,(('הנחות עסקה'!$D$72*'הנחות עסקה'!$I$70)/365*12),(-FV('מודל כלכלי'!$C$20,(6+(('הנחות עסקה'!$D$71-'הנחות עסקה'!$D$72)*'הנחות עסקה'!$I$70)/365),,'מודל כלכלי'!$C$53)))))*היוון!$C$26)),ROUND('מודל כלכלי'!$C$59*(1+0.05)^6,-4)))+(ROUND(FV('מודל כלכלי'!$C$17/12,6*12,'מודל כלכלי'!$C$48,'מודל כלכלי'!$C$46),-4))+(ROUND(-'מודל כלכלי'!$C$66*(IF('מודל כלכלי'!$C$26="פליפ",((-PV(חישובים!$D$21/12,(('הנחות עסקה'!$D$72*'הנחות עסקה'!$I$70)/365*12),(-FV('מודל כלכלי'!$C$20,(6+(('הנחות עסקה'!$D$71-'הנחות עסקה'!$D$72)*'הנחות עסקה'!$I$70)/365),,'מודל כלכלי'!$C$53))))+((0.07*(ROUND('מודל כלכלי'!$C$59*(1+0.05)^6,-4)))+(0.13*(ROUND('מודל כלכלי'!$C$59*(1+0.05)^6,-4)))+(-PV(חישובים!$D$21,((('הנחות עסקה'!$D$72*'הנחות עסקה'!$I$70)-30)/365),,((0.7*(ROUND('מודל כלכלי'!$C$59*(1+0.05)^6,-4)))+(((('הנחות עסקה'!$D$72*'הנחות עסקה'!$I$70)-30)/365)*חישובים!$D$23*(0.7*(ROUND('מודל כלכלי'!$C$59*(1+0.05)^6,-4)))*0.5))))+(-PV(חישובים!$D$21,(('הנחות עסקה'!$D$72*'הנחות עסקה'!$I$70)/365),,((0.1*(ROUND('מודל כלכלי'!$C$59*(1+0.05)^6,-4)))+((('הנחות עסקה'!$D$72*'הנחות עסקה'!$I$70)/365)*חישובים!$D$23*(0.1*(ROUND('מודל כלכלי'!$C$59*(1+0.05)^6,-4)))*0.5)))))+(-(((0.07*(ROUND('מודל כלכלי'!$C$59*(1+0.05)^6,-4)))+(0.13*(ROUND('מודל כלכלי'!$C$59*(1+0.05)^6,-4)))+(-PV(חישובים!$D$21,((('הנחות עסקה'!$D$72*'הנחות עסקה'!$I$70)-30)/365),,((0.7*(ROUND('מודל כלכלי'!$C$59*(1+0.05)^6,-4)))+(((('הנחות עסקה'!$D$72*'הנחות עסקה'!$I$70)-30)/365)*חישובים!$D$23*(0.7*(ROUND('מודל כלכלי'!$C$59*(1+0.05)^6,-4)))*0.5))))+(-PV(חישובים!$D$21,(('הנחות עסקה'!$D$72*'הנחות עסקה'!$I$70)/365),,((0.1*(ROUND('מודל כלכלי'!$C$59*(1+0.05)^6,-4)))+((('הנחות עסקה'!$D$72*'הנחות עסקה'!$I$70)/365)*חישובים!$D$23*(0.1*(ROUND('מודל כלכלי'!$C$59*(1+0.05)^6,-4)))*0.5)))))+(-PV(חישובים!$D$21/12,(('הנחות עסקה'!$D$72*'הנחות עסקה'!$I$70)/365*12),(-FV('מודל כלכלי'!$C$20,(6+(('הנחות עסקה'!$D$71-'הנחות עסקה'!$D$72)*'הנחות עסקה'!$I$70)/365),,'מודל כלכלי'!$C$53)))))*היוון!$C$26)),ROUND('מודל כלכלי'!$C$59*(1+0.05)^6,-4)))*'מודל כלכלי'!$C$14-'מודל כלכלי'!$C$68*(IF('מודל כלכלי'!$C$26="פליפ",((-PV(חישובים!$D$21/12,(('הנחות עסקה'!$D$72*'הנחות עסקה'!$I$70)/365*12),(-FV('מודל כלכלי'!$C$20,(6+(('הנחות עסקה'!$D$71-'הנחות עסקה'!$D$72)*'הנחות עסקה'!$I$70)/365),,'מודל כלכלי'!$C$53))))+((0.07*(ROUND('מודל כלכלי'!$C$59*(1+0.05)^6,-4)))+(0.13*(ROUND('מודל כלכלי'!$C$59*(1+0.05)^6,-4)))+(-PV(חישובים!$D$21,((('הנחות עסקה'!$D$72*'הנחות עסקה'!$I$70)-30)/365),,((0.7*(ROUND('מודל כלכלי'!$C$59*(1+0.05)^6,-4)))+(((('הנחות עסקה'!$D$72*'הנחות עסקה'!$I$70)-30)/365)*חישובים!$D$23*(0.7*(ROUND('מודל כלכלי'!$C$59*(1+0.05)^6,-4)))*0.5))))+(-PV(חישובים!$D$21,(('הנחות עסקה'!$D$72*'הנחות עסקה'!$I$70)/365),,((0.1*(ROUND('מודל כלכלי'!$C$59*(1+0.05)^6,-4)))+((('הנחות עסקה'!$D$72*'הנחות עסקה'!$I$70)/365)*חישובים!$D$23*(0.1*(ROUND('מודל כלכלי'!$C$59*(1+0.05)^6,-4)))*0.5)))))+(-(((0.07*(ROUND('מודל כלכלי'!$C$59*(1+0.05)^6,-4)))+(0.13*(ROUND('מודל כלכלי'!$C$59*(1+0.05)^6,-4)))+(-PV(חישובים!$D$21,((('הנחות עסקה'!$D$72*'הנחות עסקה'!$I$70)-30)/365),,((0.7*(ROUND('מודל כלכלי'!$C$59*(1+0.05)^6,-4)))+(((('הנחות עסקה'!$D$72*'הנחות עסקה'!$I$70)-30)/365)*חישובים!$D$23*(0.7*(ROUND('מודל כלכלי'!$C$59*(1+0.05)^6,-4)))*0.5))))+(-PV(חישובים!$D$21,(('הנחות עסקה'!$D$72*'הנחות עסקה'!$I$70)/365),,((0.1*(ROUND('מודל כלכלי'!$C$59*(1+0.05)^6,-4)))+((('הנחות עסקה'!$D$72*'הנחות עסקה'!$I$70)/365)*חישובים!$D$23*(0.1*(ROUND('מודל כלכלי'!$C$59*(1+0.05)^6,-4)))*0.5)))))+(-PV(חישובים!$D$21/12,(('הנחות עסקה'!$D$72*'הנחות עסקה'!$I$70)/365*12),(-FV('מודל כלכלי'!$C$20,(6+(('הנחות עסקה'!$D$71-'הנחות עסקה'!$D$72)*'הנחות עסקה'!$I$70)/365),,'מודל כלכלי'!$C$53)))))*היוון!$C$26)),ROUND('מודל כלכלי'!$C$59*(1+0.05)^6,-4)))*'מודל כלכלי'!$C$14+'מודל כלכלי'!$C$70,-3))+(ROUND(-FV(חישובים!$D$22,6*12,'מודל כלכלי'!$C$55),-3))+(-'מודל כלכלי'!$C$45)+(-MAX(0,(IF('מודל כלכלי'!$C$26="פליפ",((-PV(חישובים!$D$21/12,(('הנחות עסקה'!$D$72*'הנחות עסקה'!$I$70)/365*12),(-FV('מודל כלכלי'!$C$20,(6+(('הנחות עסקה'!$D$71-'הנחות עסקה'!$D$72)*'הנחות עסקה'!$I$70)/365),,'מודל כלכלי'!$C$53))))+((0.07*(ROUND('מודל כלכלי'!$C$59*(1+0.05)^6,-4)))+(0.13*(ROUND('מודל כלכלי'!$C$59*(1+0.05)^6,-4)))+(-PV(חישובים!$D$21,((('הנחות עסקה'!$D$72*'הנחות עסקה'!$I$70)-30)/365),,((0.7*(ROUND('מודל כלכלי'!$C$59*(1+0.05)^6,-4)))+(((('הנחות עסקה'!$D$72*'הנחות עסקה'!$I$70)-30)/365)*חישובים!$D$23*(0.7*(ROUND('מודל כלכלי'!$C$59*(1+0.05)^6,-4)))*0.5))))+(-PV(חישובים!$D$21,(('הנחות עסקה'!$D$72*'הנחות עסקה'!$I$70)/365),,((0.1*(ROUND('מודל כלכלי'!$C$59*(1+0.05)^6,-4)))+((('הנחות עסקה'!$D$72*'הנחות עסקה'!$I$70)/365)*חישובים!$D$23*(0.1*(ROUND('מודל כלכלי'!$C$59*(1+0.05)^6,-4)))*0.5)))))+(-(((0.07*(ROUND('מודל כלכלי'!$C$59*(1+0.05)^6,-4)))+(0.13*(ROUND('מודל כלכלי'!$C$59*(1+0.05)^6,-4)))+(-PV(חישובים!$D$21,((('הנחות עסקה'!$D$72*'הנחות עסקה'!$I$70)-30)/365),,((0.7*(ROUND('מודל כלכלי'!$C$59*(1+0.05)^6,-4)))+(((('הנחות עסקה'!$D$72*'הנחות עסקה'!$I$70)-30)/365)*חישובים!$D$23*(0.7*(ROUND('מודל כלכלי'!$C$59*(1+0.05)^6,-4)))*0.5))))+(-PV(חישובים!$D$21,(('הנחות עסקה'!$D$72*'הנחות עסקה'!$I$70)/365),,((0.1*(ROUND('מודל כלכלי'!$C$59*(1+0.05)^6,-4)))+((('הנחות עסקה'!$D$72*'הנחות עסקה'!$I$70)/365)*חישובים!$D$23*(0.1*(ROUND('מודל כלכלי'!$C$59*(1+0.05)^6,-4)))*0.5)))))+(-PV(חישובים!$D$21/12,(('הנחות עסקה'!$D$72*'הנחות עסקה'!$I$70)/365*12),(-FV('מודל כלכלי'!$C$20,(6+(('הנחות עסקה'!$D$71-'הנחות עסקה'!$D$72)*'הנחות עסקה'!$I$70)/365),,'מודל כלכלי'!$C$53)))))*היוון!$C$26)),ROUND('מודל כלכלי'!$C$59*(1+0.05)^6,-4)))-(חישובים!$D$28*(1+חישובים!$D$29)^6))*0.25),-4)</f>
        <v>1890000</v>
      </c>
      <c r="D21" s="24">
        <f>ROUND((IF('מודל כלכלי'!$C$26="פליפ",((-PV(חישובים!$D$21/12,(('הנחות עסקה'!$D$72*'הנחות עסקה'!$I$70)/365*12),(-FV('מודל כלכלי'!$C$20,(7+(('הנחות עסקה'!$D$71-'הנחות עסקה'!$D$72)*'הנחות עסקה'!$I$70)/365),,'מודל כלכלי'!$C$53))))+((0.07*(ROUND('מודל כלכלי'!$C$59*(1+0.05)^7,-4)))+(0.13*(ROUND('מודל כלכלי'!$C$59*(1+0.05)^7,-4)))+(-PV(חישובים!$D$21,((('הנחות עסקה'!$D$72*'הנחות עסקה'!$I$70)-30)/365),,((0.7*(ROUND('מודל כלכלי'!$C$59*(1+0.05)^7,-4)))+(((('הנחות עסקה'!$D$72*'הנחות עסקה'!$I$70)-30)/365)*חישובים!$D$23*(0.7*(ROUND('מודל כלכלי'!$C$59*(1+0.05)^7,-4)))*0.5))))+(-PV(חישובים!$D$21,(('הנחות עסקה'!$D$72*'הנחות עסקה'!$I$70)/365),,((0.1*(ROUND('מודל כלכלי'!$C$59*(1+0.05)^7,-4)))+((('הנחות עסקה'!$D$72*'הנחות עסקה'!$I$70)/365)*חישובים!$D$23*(0.1*(ROUND('מודל כלכלי'!$C$59*(1+0.05)^7,-4)))*0.5)))))+(-(((0.07*(ROUND('מודל כלכלי'!$C$59*(1+0.05)^7,-4)))+(0.13*(ROUND('מודל כלכלי'!$C$59*(1+0.05)^7,-4)))+(-PV(חישובים!$D$21,((('הנחות עסקה'!$D$72*'הנחות עסקה'!$I$70)-30)/365),,((0.7*(ROUND('מודל כלכלי'!$C$59*(1+0.05)^7,-4)))+(((('הנחות עסקה'!$D$72*'הנחות עסקה'!$I$70)-30)/365)*חישובים!$D$23*(0.7*(ROUND('מודל כלכלי'!$C$59*(1+0.05)^7,-4)))*0.5))))+(-PV(חישובים!$D$21,(('הנחות עסקה'!$D$72*'הנחות עסקה'!$I$70)/365),,((0.1*(ROUND('מודל כלכלי'!$C$59*(1+0.05)^7,-4)))+((('הנחות עסקה'!$D$72*'הנחות עסקה'!$I$70)/365)*חישובים!$D$23*(0.1*(ROUND('מודל כלכלי'!$C$59*(1+0.05)^7,-4)))*0.5)))))+(-PV(חישובים!$D$21/12,(('הנחות עסקה'!$D$72*'הנחות עסקה'!$I$70)/365*12),(-FV('מודל כלכלי'!$C$20,(7+(('הנחות עסקה'!$D$71-'הנחות עסקה'!$D$72)*'הנחות עסקה'!$I$70)/365),,'מודל כלכלי'!$C$53)))))*היוון!$C$26)),ROUND('מודל כלכלי'!$C$59*(1+0.05)^7,-4)))+(ROUND(FV('מודל כלכלי'!$C$17/12,7*12,'מודל כלכלי'!$C$48,'מודל כלכלי'!$C$46),-4))+(ROUND(-'מודל כלכלי'!$C$66*(IF('מודל כלכלי'!$C$26="פליפ",((-PV(חישובים!$D$21/12,(('הנחות עסקה'!$D$72*'הנחות עסקה'!$I$70)/365*12),(-FV('מודל כלכלי'!$C$20,(7+(('הנחות עסקה'!$D$71-'הנחות עסקה'!$D$72)*'הנחות עסקה'!$I$70)/365),,'מודל כלכלי'!$C$53))))+((0.07*(ROUND('מודל כלכלי'!$C$59*(1+0.05)^7,-4)))+(0.13*(ROUND('מודל כלכלי'!$C$59*(1+0.05)^7,-4)))+(-PV(חישובים!$D$21,((('הנחות עסקה'!$D$72*'הנחות עסקה'!$I$70)-30)/365),,((0.7*(ROUND('מודל כלכלי'!$C$59*(1+0.05)^7,-4)))+(((('הנחות עסקה'!$D$72*'הנחות עסקה'!$I$70)-30)/365)*חישובים!$D$23*(0.7*(ROUND('מודל כלכלי'!$C$59*(1+0.05)^7,-4)))*0.5))))+(-PV(חישובים!$D$21,(('הנחות עסקה'!$D$72*'הנחות עסקה'!$I$70)/365),,((0.1*(ROUND('מודל כלכלי'!$C$59*(1+0.05)^7,-4)))+((('הנחות עסקה'!$D$72*'הנחות עסקה'!$I$70)/365)*חישובים!$D$23*(0.1*(ROUND('מודל כלכלי'!$C$59*(1+0.05)^7,-4)))*0.5)))))+(-(((0.07*(ROUND('מודל כלכלי'!$C$59*(1+0.05)^7,-4)))+(0.13*(ROUND('מודל כלכלי'!$C$59*(1+0.05)^7,-4)))+(-PV(חישובים!$D$21,((('הנחות עסקה'!$D$72*'הנחות עסקה'!$I$70)-30)/365),,((0.7*(ROUND('מודל כלכלי'!$C$59*(1+0.05)^7,-4)))+(((('הנחות עסקה'!$D$72*'הנחות עסקה'!$I$70)-30)/365)*חישובים!$D$23*(0.7*(ROUND('מודל כלכלי'!$C$59*(1+0.05)^7,-4)))*0.5))))+(-PV(חישובים!$D$21,(('הנחות עסקה'!$D$72*'הנחות עסקה'!$I$70)/365),,((0.1*(ROUND('מודל כלכלי'!$C$59*(1+0.05)^7,-4)))+((('הנחות עסקה'!$D$72*'הנחות עסקה'!$I$70)/365)*חישובים!$D$23*(0.1*(ROUND('מודל כלכלי'!$C$59*(1+0.05)^7,-4)))*0.5)))))+(-PV(חישובים!$D$21/12,(('הנחות עסקה'!$D$72*'הנחות עסקה'!$I$70)/365*12),(-FV('מודל כלכלי'!$C$20,(7+(('הנחות עסקה'!$D$71-'הנחות עסקה'!$D$72)*'הנחות עסקה'!$I$70)/365),,'מודל כלכלי'!$C$53)))))*היוון!$C$26)),ROUND('מודל כלכלי'!$C$59*(1+0.05)^7,-4)))*'מודל כלכלי'!$C$14-'מודל כלכלי'!$C$68*(IF('מודל כלכלי'!$C$26="פליפ",((-PV(חישובים!$D$21/12,(('הנחות עסקה'!$D$72*'הנחות עסקה'!$I$70)/365*12),(-FV('מודל כלכלי'!$C$20,(7+(('הנחות עסקה'!$D$71-'הנחות עסקה'!$D$72)*'הנחות עסקה'!$I$70)/365),,'מודל כלכלי'!$C$53))))+((0.07*(ROUND('מודל כלכלי'!$C$59*(1+0.05)^7,-4)))+(0.13*(ROUND('מודל כלכלי'!$C$59*(1+0.05)^7,-4)))+(-PV(חישובים!$D$21,((('הנחות עסקה'!$D$72*'הנחות עסקה'!$I$70)-30)/365),,((0.7*(ROUND('מודל כלכלי'!$C$59*(1+0.05)^7,-4)))+(((('הנחות עסקה'!$D$72*'הנחות עסקה'!$I$70)-30)/365)*חישובים!$D$23*(0.7*(ROUND('מודל כלכלי'!$C$59*(1+0.05)^7,-4)))*0.5))))+(-PV(חישובים!$D$21,(('הנחות עסקה'!$D$72*'הנחות עסקה'!$I$70)/365),,((0.1*(ROUND('מודל כלכלי'!$C$59*(1+0.05)^7,-4)))+((('הנחות עסקה'!$D$72*'הנחות עסקה'!$I$70)/365)*חישובים!$D$23*(0.1*(ROUND('מודל כלכלי'!$C$59*(1+0.05)^7,-4)))*0.5)))))+(-(((0.07*(ROUND('מודל כלכלי'!$C$59*(1+0.05)^7,-4)))+(0.13*(ROUND('מודל כלכלי'!$C$59*(1+0.05)^7,-4)))+(-PV(חישובים!$D$21,((('הנחות עסקה'!$D$72*'הנחות עסקה'!$I$70)-30)/365),,((0.7*(ROUND('מודל כלכלי'!$C$59*(1+0.05)^7,-4)))+(((('הנחות עסקה'!$D$72*'הנחות עסקה'!$I$70)-30)/365)*חישובים!$D$23*(0.7*(ROUND('מודל כלכלי'!$C$59*(1+0.05)^7,-4)))*0.5))))+(-PV(חישובים!$D$21,(('הנחות עסקה'!$D$72*'הנחות עסקה'!$I$70)/365),,((0.1*(ROUND('מודל כלכלי'!$C$59*(1+0.05)^7,-4)))+((('הנחות עסקה'!$D$72*'הנחות עסקה'!$I$70)/365)*חישובים!$D$23*(0.1*(ROUND('מודל כלכלי'!$C$59*(1+0.05)^7,-4)))*0.5)))))+(-PV(חישובים!$D$21/12,(('הנחות עסקה'!$D$72*'הנחות עסקה'!$I$70)/365*12),(-FV('מודל כלכלי'!$C$20,(7+(('הנחות עסקה'!$D$71-'הנחות עסקה'!$D$72)*'הנחות עסקה'!$I$70)/365),,'מודל כלכלי'!$C$53)))))*היוון!$C$26)),ROUND('מודל כלכלי'!$C$59*(1+0.05)^7,-4)))*'מודל כלכלי'!$C$14+'מודל כלכלי'!$C$70,-3))+(ROUND(-FV(חישובים!$D$22,7*12,'מודל כלכלי'!$C$55),-3))+(-'מודל כלכלי'!$C$45)+(-MAX(0,(IF('מודל כלכלי'!$C$26="פליפ",((-PV(חישובים!$D$21/12,(('הנחות עסקה'!$D$72*'הנחות עסקה'!$I$70)/365*12),(-FV('מודל כלכלי'!$C$20,(7+(('הנחות עסקה'!$D$71-'הנחות עסקה'!$D$72)*'הנחות עסקה'!$I$70)/365),,'מודל כלכלי'!$C$53))))+((0.07*(ROUND('מודל כלכלי'!$C$59*(1+0.05)^7,-4)))+(0.13*(ROUND('מודל כלכלי'!$C$59*(1+0.05)^7,-4)))+(-PV(חישובים!$D$21,((('הנחות עסקה'!$D$72*'הנחות עסקה'!$I$70)-30)/365),,((0.7*(ROUND('מודל כלכלי'!$C$59*(1+0.05)^7,-4)))+(((('הנחות עסקה'!$D$72*'הנחות עסקה'!$I$70)-30)/365)*חישובים!$D$23*(0.7*(ROUND('מודל כלכלי'!$C$59*(1+0.05)^7,-4)))*0.5))))+(-PV(חישובים!$D$21,(('הנחות עסקה'!$D$72*'הנחות עסקה'!$I$70)/365),,((0.1*(ROUND('מודל כלכלי'!$C$59*(1+0.05)^7,-4)))+((('הנחות עסקה'!$D$72*'הנחות עסקה'!$I$70)/365)*חישובים!$D$23*(0.1*(ROUND('מודל כלכלי'!$C$59*(1+0.05)^7,-4)))*0.5)))))+(-(((0.07*(ROUND('מודל כלכלי'!$C$59*(1+0.05)^7,-4)))+(0.13*(ROUND('מודל כלכלי'!$C$59*(1+0.05)^7,-4)))+(-PV(חישובים!$D$21,((('הנחות עסקה'!$D$72*'הנחות עסקה'!$I$70)-30)/365),,((0.7*(ROUND('מודל כלכלי'!$C$59*(1+0.05)^7,-4)))+(((('הנחות עסקה'!$D$72*'הנחות עסקה'!$I$70)-30)/365)*חישובים!$D$23*(0.7*(ROUND('מודל כלכלי'!$C$59*(1+0.05)^7,-4)))*0.5))))+(-PV(חישובים!$D$21,(('הנחות עסקה'!$D$72*'הנחות עסקה'!$I$70)/365),,((0.1*(ROUND('מודל כלכלי'!$C$59*(1+0.05)^7,-4)))+((('הנחות עסקה'!$D$72*'הנחות עסקה'!$I$70)/365)*חישובים!$D$23*(0.1*(ROUND('מודל כלכלי'!$C$59*(1+0.05)^7,-4)))*0.5)))))+(-PV(חישובים!$D$21/12,(('הנחות עסקה'!$D$72*'הנחות עסקה'!$I$70)/365*12),(-FV('מודל כלכלי'!$C$20,(7+(('הנחות עסקה'!$D$71-'הנחות עסקה'!$D$72)*'הנחות עסקה'!$I$70)/365),,'מודל כלכלי'!$C$53)))))*היוון!$C$26)),ROUND('מודל כלכלי'!$C$59*(1+0.05)^7,-4)))-(חישובים!$D$28*(1+חישובים!$D$29)^7))*0.25),-4)</f>
        <v>2080000</v>
      </c>
      <c r="E21" s="24">
        <f>ROUND((IF('מודל כלכלי'!$C$26="פליפ",((-PV(חישובים!$D$21/12,(('הנחות עסקה'!$D$72*'הנחות עסקה'!$I$70)/365*12),(-FV('מודל כלכלי'!$C$20,(8+(('הנחות עסקה'!$D$71-'הנחות עסקה'!$D$72)*'הנחות עסקה'!$I$70)/365),,'מודל כלכלי'!$C$53))))+((0.07*(ROUND('מודל כלכלי'!$C$59*(1+0.05)^8,-4)))+(0.13*(ROUND('מודל כלכלי'!$C$59*(1+0.05)^8,-4)))+(-PV(חישובים!$D$21,((('הנחות עסקה'!$D$72*'הנחות עסקה'!$I$70)-30)/365),,((0.7*(ROUND('מודל כלכלי'!$C$59*(1+0.05)^8,-4)))+(((('הנחות עסקה'!$D$72*'הנחות עסקה'!$I$70)-30)/365)*חישובים!$D$23*(0.7*(ROUND('מודל כלכלי'!$C$59*(1+0.05)^8,-4)))*0.5))))+(-PV(חישובים!$D$21,(('הנחות עסקה'!$D$72*'הנחות עסקה'!$I$70)/365),,((0.1*(ROUND('מודל כלכלי'!$C$59*(1+0.05)^8,-4)))+((('הנחות עסקה'!$D$72*'הנחות עסקה'!$I$70)/365)*חישובים!$D$23*(0.1*(ROUND('מודל כלכלי'!$C$59*(1+0.05)^8,-4)))*0.5)))))+(-(((0.07*(ROUND('מודל כלכלי'!$C$59*(1+0.05)^8,-4)))+(0.13*(ROUND('מודל כלכלי'!$C$59*(1+0.05)^8,-4)))+(-PV(חישובים!$D$21,((('הנחות עסקה'!$D$72*'הנחות עסקה'!$I$70)-30)/365),,((0.7*(ROUND('מודל כלכלי'!$C$59*(1+0.05)^8,-4)))+(((('הנחות עסקה'!$D$72*'הנחות עסקה'!$I$70)-30)/365)*חישובים!$D$23*(0.7*(ROUND('מודל כלכלי'!$C$59*(1+0.05)^8,-4)))*0.5))))+(-PV(חישובים!$D$21,(('הנחות עסקה'!$D$72*'הנחות עסקה'!$I$70)/365),,((0.1*(ROUND('מודל כלכלי'!$C$59*(1+0.05)^8,-4)))+((('הנחות עסקה'!$D$72*'הנחות עסקה'!$I$70)/365)*חישובים!$D$23*(0.1*(ROUND('מודל כלכלי'!$C$59*(1+0.05)^8,-4)))*0.5)))))+(-PV(חישובים!$D$21/12,(('הנחות עסקה'!$D$72*'הנחות עסקה'!$I$70)/365*12),(-FV('מודל כלכלי'!$C$20,(8+(('הנחות עסקה'!$D$71-'הנחות עסקה'!$D$72)*'הנחות עסקה'!$I$70)/365),,'מודל כלכלי'!$C$53)))))*היוון!$C$26)),ROUND('מודל כלכלי'!$C$59*(1+0.05)^8,-4)))+(ROUND(FV('מודל כלכלי'!$C$17/12,8*12,'מודל כלכלי'!$C$48,'מודל כלכלי'!$C$46),-4))+(ROUND(-'מודל כלכלי'!$C$66*(IF('מודל כלכלי'!$C$26="פליפ",((-PV(חישובים!$D$21/12,(('הנחות עסקה'!$D$72*'הנחות עסקה'!$I$70)/365*12),(-FV('מודל כלכלי'!$C$20,(8+(('הנחות עסקה'!$D$71-'הנחות עסקה'!$D$72)*'הנחות עסקה'!$I$70)/365),,'מודל כלכלי'!$C$53))))+((0.07*(ROUND('מודל כלכלי'!$C$59*(1+0.05)^8,-4)))+(0.13*(ROUND('מודל כלכלי'!$C$59*(1+0.05)^8,-4)))+(-PV(חישובים!$D$21,((('הנחות עסקה'!$D$72*'הנחות עסקה'!$I$70)-30)/365),,((0.7*(ROUND('מודל כלכלי'!$C$59*(1+0.05)^8,-4)))+(((('הנחות עסקה'!$D$72*'הנחות עסקה'!$I$70)-30)/365)*חישובים!$D$23*(0.7*(ROUND('מודל כלכלי'!$C$59*(1+0.05)^8,-4)))*0.5))))+(-PV(חישובים!$D$21,(('הנחות עסקה'!$D$72*'הנחות עסקה'!$I$70)/365),,((0.1*(ROUND('מודל כלכלי'!$C$59*(1+0.05)^8,-4)))+((('הנחות עסקה'!$D$72*'הנחות עסקה'!$I$70)/365)*חישובים!$D$23*(0.1*(ROUND('מודל כלכלי'!$C$59*(1+0.05)^8,-4)))*0.5)))))+(-(((0.07*(ROUND('מודל כלכלי'!$C$59*(1+0.05)^8,-4)))+(0.13*(ROUND('מודל כלכלי'!$C$59*(1+0.05)^8,-4)))+(-PV(חישובים!$D$21,((('הנחות עסקה'!$D$72*'הנחות עסקה'!$I$70)-30)/365),,((0.7*(ROUND('מודל כלכלי'!$C$59*(1+0.05)^8,-4)))+(((('הנחות עסקה'!$D$72*'הנחות עסקה'!$I$70)-30)/365)*חישובים!$D$23*(0.7*(ROUND('מודל כלכלי'!$C$59*(1+0.05)^8,-4)))*0.5))))+(-PV(חישובים!$D$21,(('הנחות עסקה'!$D$72*'הנחות עסקה'!$I$70)/365),,((0.1*(ROUND('מודל כלכלי'!$C$59*(1+0.05)^8,-4)))+((('הנחות עסקה'!$D$72*'הנחות עסקה'!$I$70)/365)*חישובים!$D$23*(0.1*(ROUND('מודל כלכלי'!$C$59*(1+0.05)^8,-4)))*0.5)))))+(-PV(חישובים!$D$21/12,(('הנחות עסקה'!$D$72*'הנחות עסקה'!$I$70)/365*12),(-FV('מודל כלכלי'!$C$20,(8+(('הנחות עסקה'!$D$71-'הנחות עסקה'!$D$72)*'הנחות עסקה'!$I$70)/365),,'מודל כלכלי'!$C$53)))))*היוון!$C$26)),ROUND('מודל כלכלי'!$C$59*(1+0.05)^8,-4)))*'מודל כלכלי'!$C$14-'מודל כלכלי'!$C$68*(IF('מודל כלכלי'!$C$26="פליפ",((-PV(חישובים!$D$21/12,(('הנחות עסקה'!$D$72*'הנחות עסקה'!$I$70)/365*12),(-FV('מודל כלכלי'!$C$20,(8+(('הנחות עסקה'!$D$71-'הנחות עסקה'!$D$72)*'הנחות עסקה'!$I$70)/365),,'מודל כלכלי'!$C$53))))+((0.07*(ROUND('מודל כלכלי'!$C$59*(1+0.05)^8,-4)))+(0.13*(ROUND('מודל כלכלי'!$C$59*(1+0.05)^8,-4)))+(-PV(חישובים!$D$21,((('הנחות עסקה'!$D$72*'הנחות עסקה'!$I$70)-30)/365),,((0.7*(ROUND('מודל כלכלי'!$C$59*(1+0.05)^8,-4)))+(((('הנחות עסקה'!$D$72*'הנחות עסקה'!$I$70)-30)/365)*חישובים!$D$23*(0.7*(ROUND('מודל כלכלי'!$C$59*(1+0.05)^8,-4)))*0.5))))+(-PV(חישובים!$D$21,(('הנחות עסקה'!$D$72*'הנחות עסקה'!$I$70)/365),,((0.1*(ROUND('מודל כלכלי'!$C$59*(1+0.05)^8,-4)))+((('הנחות עסקה'!$D$72*'הנחות עסקה'!$I$70)/365)*חישובים!$D$23*(0.1*(ROUND('מודל כלכלי'!$C$59*(1+0.05)^8,-4)))*0.5)))))+(-(((0.07*(ROUND('מודל כלכלי'!$C$59*(1+0.05)^8,-4)))+(0.13*(ROUND('מודל כלכלי'!$C$59*(1+0.05)^8,-4)))+(-PV(חישובים!$D$21,((('הנחות עסקה'!$D$72*'הנחות עסקה'!$I$70)-30)/365),,((0.7*(ROUND('מודל כלכלי'!$C$59*(1+0.05)^8,-4)))+(((('הנחות עסקה'!$D$72*'הנחות עסקה'!$I$70)-30)/365)*חישובים!$D$23*(0.7*(ROUND('מודל כלכלי'!$C$59*(1+0.05)^8,-4)))*0.5))))+(-PV(חישובים!$D$21,(('הנחות עסקה'!$D$72*'הנחות עסקה'!$I$70)/365),,((0.1*(ROUND('מודל כלכלי'!$C$59*(1+0.05)^8,-4)))+((('הנחות עסקה'!$D$72*'הנחות עסקה'!$I$70)/365)*חישובים!$D$23*(0.1*(ROUND('מודל כלכלי'!$C$59*(1+0.05)^8,-4)))*0.5)))))+(-PV(חישובים!$D$21/12,(('הנחות עסקה'!$D$72*'הנחות עסקה'!$I$70)/365*12),(-FV('מודל כלכלי'!$C$20,(8+(('הנחות עסקה'!$D$71-'הנחות עסקה'!$D$72)*'הנחות עסקה'!$I$70)/365),,'מודל כלכלי'!$C$53)))))*היוון!$C$26)),ROUND('מודל כלכלי'!$C$59*(1+0.05)^8,-4)))*'מודל כלכלי'!$C$14+'מודל כלכלי'!$C$70,-3))+(ROUND(-FV(חישובים!$D$22,8*12,'מודל כלכלי'!$C$55),-3))+(-'מודל כלכלי'!$C$45)+(-MAX(0,(IF('מודל כלכלי'!$C$26="פליפ",((-PV(חישובים!$D$21/12,(('הנחות עסקה'!$D$72*'הנחות עסקה'!$I$70)/365*12),(-FV('מודל כלכלי'!$C$20,(8+(('הנחות עסקה'!$D$71-'הנחות עסקה'!$D$72)*'הנחות עסקה'!$I$70)/365),,'מודל כלכלי'!$C$53))))+((0.07*(ROUND('מודל כלכלי'!$C$59*(1+0.05)^8,-4)))+(0.13*(ROUND('מודל כלכלי'!$C$59*(1+0.05)^8,-4)))+(-PV(חישובים!$D$21,((('הנחות עסקה'!$D$72*'הנחות עסקה'!$I$70)-30)/365),,((0.7*(ROUND('מודל כלכלי'!$C$59*(1+0.05)^8,-4)))+(((('הנחות עסקה'!$D$72*'הנחות עסקה'!$I$70)-30)/365)*חישובים!$D$23*(0.7*(ROUND('מודל כלכלי'!$C$59*(1+0.05)^8,-4)))*0.5))))+(-PV(חישובים!$D$21,(('הנחות עסקה'!$D$72*'הנחות עסקה'!$I$70)/365),,((0.1*(ROUND('מודל כלכלי'!$C$59*(1+0.05)^8,-4)))+((('הנחות עסקה'!$D$72*'הנחות עסקה'!$I$70)/365)*חישובים!$D$23*(0.1*(ROUND('מודל כלכלי'!$C$59*(1+0.05)^8,-4)))*0.5)))))+(-(((0.07*(ROUND('מודל כלכלי'!$C$59*(1+0.05)^8,-4)))+(0.13*(ROUND('מודל כלכלי'!$C$59*(1+0.05)^8,-4)))+(-PV(חישובים!$D$21,((('הנחות עסקה'!$D$72*'הנחות עסקה'!$I$70)-30)/365),,((0.7*(ROUND('מודל כלכלי'!$C$59*(1+0.05)^8,-4)))+(((('הנחות עסקה'!$D$72*'הנחות עסקה'!$I$70)-30)/365)*חישובים!$D$23*(0.7*(ROUND('מודל כלכלי'!$C$59*(1+0.05)^8,-4)))*0.5))))+(-PV(חישובים!$D$21,(('הנחות עסקה'!$D$72*'הנחות עסקה'!$I$70)/365),,((0.1*(ROUND('מודל כלכלי'!$C$59*(1+0.05)^8,-4)))+((('הנחות עסקה'!$D$72*'הנחות עסקה'!$I$70)/365)*חישובים!$D$23*(0.1*(ROUND('מודל כלכלי'!$C$59*(1+0.05)^8,-4)))*0.5)))))+(-PV(חישובים!$D$21/12,(('הנחות עסקה'!$D$72*'הנחות עסקה'!$I$70)/365*12),(-FV('מודל כלכלי'!$C$20,(8+(('הנחות עסקה'!$D$71-'הנחות עסקה'!$D$72)*'הנחות עסקה'!$I$70)/365),,'מודל כלכלי'!$C$53)))))*היוון!$C$26)),ROUND('מודל כלכלי'!$C$59*(1+0.05)^8,-4)))-(חישובים!$D$28*(1+חישובים!$D$29)^8))*0.25),-4)</f>
        <v>2270000</v>
      </c>
      <c r="F21" s="24">
        <f>ROUND((IF('מודל כלכלי'!$C$26="פליפ",((-PV(חישובים!$D$21/12,(('הנחות עסקה'!$D$72*'הנחות עסקה'!$I$70)/365*12),(-FV('מודל כלכלי'!$C$20,(9+(('הנחות עסקה'!$D$71-'הנחות עסקה'!$D$72)*'הנחות עסקה'!$I$70)/365),,'מודל כלכלי'!$C$53))))+((0.07*(ROUND('מודל כלכלי'!$C$59*(1+0.05)^9,-4)))+(0.13*(ROUND('מודל כלכלי'!$C$59*(1+0.05)^9,-4)))+(-PV(חישובים!$D$21,((('הנחות עסקה'!$D$72*'הנחות עסקה'!$I$70)-30)/365),,((0.7*(ROUND('מודל כלכלי'!$C$59*(1+0.05)^9,-4)))+(((('הנחות עסקה'!$D$72*'הנחות עסקה'!$I$70)-30)/365)*חישובים!$D$23*(0.7*(ROUND('מודל כלכלי'!$C$59*(1+0.05)^9,-4)))*0.5))))+(-PV(חישובים!$D$21,(('הנחות עסקה'!$D$72*'הנחות עסקה'!$I$70)/365),,((0.1*(ROUND('מודל כלכלי'!$C$59*(1+0.05)^9,-4)))+((('הנחות עסקה'!$D$72*'הנחות עסקה'!$I$70)/365)*חישובים!$D$23*(0.1*(ROUND('מודל כלכלי'!$C$59*(1+0.05)^9,-4)))*0.5)))))+(-(((0.07*(ROUND('מודל כלכלי'!$C$59*(1+0.05)^9,-4)))+(0.13*(ROUND('מודל כלכלי'!$C$59*(1+0.05)^9,-4)))+(-PV(חישובים!$D$21,((('הנחות עסקה'!$D$72*'הנחות עסקה'!$I$70)-30)/365),,((0.7*(ROUND('מודל כלכלי'!$C$59*(1+0.05)^9,-4)))+(((('הנחות עסקה'!$D$72*'הנחות עסקה'!$I$70)-30)/365)*חישובים!$D$23*(0.7*(ROUND('מודל כלכלי'!$C$59*(1+0.05)^9,-4)))*0.5))))+(-PV(חישובים!$D$21,(('הנחות עסקה'!$D$72*'הנחות עסקה'!$I$70)/365),,((0.1*(ROUND('מודל כלכלי'!$C$59*(1+0.05)^9,-4)))+((('הנחות עסקה'!$D$72*'הנחות עסקה'!$I$70)/365)*חישובים!$D$23*(0.1*(ROUND('מודל כלכלי'!$C$59*(1+0.05)^9,-4)))*0.5)))))+(-PV(חישובים!$D$21/12,(('הנחות עסקה'!$D$72*'הנחות עסקה'!$I$70)/365*12),(-FV('מודל כלכלי'!$C$20,(9+(('הנחות עסקה'!$D$71-'הנחות עסקה'!$D$72)*'הנחות עסקה'!$I$70)/365),,'מודל כלכלי'!$C$53)))))*היוון!$C$26)),ROUND('מודל כלכלי'!$C$59*(1+0.05)^9,-4)))+(ROUND(FV('מודל כלכלי'!$C$17/12,9*12,'מודל כלכלי'!$C$48,'מודל כלכלי'!$C$46),-4))+(ROUND(-'מודל כלכלי'!$C$66*(IF('מודל כלכלי'!$C$26="פליפ",((-PV(חישובים!$D$21/12,(('הנחות עסקה'!$D$72*'הנחות עסקה'!$I$70)/365*12),(-FV('מודל כלכלי'!$C$20,(9+(('הנחות עסקה'!$D$71-'הנחות עסקה'!$D$72)*'הנחות עסקה'!$I$70)/365),,'מודל כלכלי'!$C$53))))+((0.07*(ROUND('מודל כלכלי'!$C$59*(1+0.05)^9,-4)))+(0.13*(ROUND('מודל כלכלי'!$C$59*(1+0.05)^9,-4)))+(-PV(חישובים!$D$21,((('הנחות עסקה'!$D$72*'הנחות עסקה'!$I$70)-30)/365),,((0.7*(ROUND('מודל כלכלי'!$C$59*(1+0.05)^9,-4)))+(((('הנחות עסקה'!$D$72*'הנחות עסקה'!$I$70)-30)/365)*חישובים!$D$23*(0.7*(ROUND('מודל כלכלי'!$C$59*(1+0.05)^9,-4)))*0.5))))+(-PV(חישובים!$D$21,(('הנחות עסקה'!$D$72*'הנחות עסקה'!$I$70)/365),,((0.1*(ROUND('מודל כלכלי'!$C$59*(1+0.05)^9,-4)))+((('הנחות עסקה'!$D$72*'הנחות עסקה'!$I$70)/365)*חישובים!$D$23*(0.1*(ROUND('מודל כלכלי'!$C$59*(1+0.05)^9,-4)))*0.5)))))+(-(((0.07*(ROUND('מודל כלכלי'!$C$59*(1+0.05)^9,-4)))+(0.13*(ROUND('מודל כלכלי'!$C$59*(1+0.05)^9,-4)))+(-PV(חישובים!$D$21,((('הנחות עסקה'!$D$72*'הנחות עסקה'!$I$70)-30)/365),,((0.7*(ROUND('מודל כלכלי'!$C$59*(1+0.05)^9,-4)))+(((('הנחות עסקה'!$D$72*'הנחות עסקה'!$I$70)-30)/365)*חישובים!$D$23*(0.7*(ROUND('מודל כלכלי'!$C$59*(1+0.05)^9,-4)))*0.5))))+(-PV(חישובים!$D$21,(('הנחות עסקה'!$D$72*'הנחות עסקה'!$I$70)/365),,((0.1*(ROUND('מודל כלכלי'!$C$59*(1+0.05)^9,-4)))+((('הנחות עסקה'!$D$72*'הנחות עסקה'!$I$70)/365)*חישובים!$D$23*(0.1*(ROUND('מודל כלכלי'!$C$59*(1+0.05)^9,-4)))*0.5)))))+(-PV(חישובים!$D$21/12,(('הנחות עסקה'!$D$72*'הנחות עסקה'!$I$70)/365*12),(-FV('מודל כלכלי'!$C$20,(9+(('הנחות עסקה'!$D$71-'הנחות עסקה'!$D$72)*'הנחות עסקה'!$I$70)/365),,'מודל כלכלי'!$C$53)))))*היוון!$C$26)),ROUND('מודל כלכלי'!$C$59*(1+0.05)^9,-4)))*'מודל כלכלי'!$C$14-'מודל כלכלי'!$C$68*(IF('מודל כלכלי'!$C$26="פליפ",((-PV(חישובים!$D$21/12,(('הנחות עסקה'!$D$72*'הנחות עסקה'!$I$70)/365*12),(-FV('מודל כלכלי'!$C$20,(9+(('הנחות עסקה'!$D$71-'הנחות עסקה'!$D$72)*'הנחות עסקה'!$I$70)/365),,'מודל כלכלי'!$C$53))))+((0.07*(ROUND('מודל כלכלי'!$C$59*(1+0.05)^9,-4)))+(0.13*(ROUND('מודל כלכלי'!$C$59*(1+0.05)^9,-4)))+(-PV(חישובים!$D$21,((('הנחות עסקה'!$D$72*'הנחות עסקה'!$I$70)-30)/365),,((0.7*(ROUND('מודל כלכלי'!$C$59*(1+0.05)^9,-4)))+(((('הנחות עסקה'!$D$72*'הנחות עסקה'!$I$70)-30)/365)*חישובים!$D$23*(0.7*(ROUND('מודל כלכלי'!$C$59*(1+0.05)^9,-4)))*0.5))))+(-PV(חישובים!$D$21,(('הנחות עסקה'!$D$72*'הנחות עסקה'!$I$70)/365),,((0.1*(ROUND('מודל כלכלי'!$C$59*(1+0.05)^9,-4)))+((('הנחות עסקה'!$D$72*'הנחות עסקה'!$I$70)/365)*חישובים!$D$23*(0.1*(ROUND('מודל כלכלי'!$C$59*(1+0.05)^9,-4)))*0.5)))))+(-(((0.07*(ROUND('מודל כלכלי'!$C$59*(1+0.05)^9,-4)))+(0.13*(ROUND('מודל כלכלי'!$C$59*(1+0.05)^9,-4)))+(-PV(חישובים!$D$21,((('הנחות עסקה'!$D$72*'הנחות עסקה'!$I$70)-30)/365),,((0.7*(ROUND('מודל כלכלי'!$C$59*(1+0.05)^9,-4)))+(((('הנחות עסקה'!$D$72*'הנחות עסקה'!$I$70)-30)/365)*חישובים!$D$23*(0.7*(ROUND('מודל כלכלי'!$C$59*(1+0.05)^9,-4)))*0.5))))+(-PV(חישובים!$D$21,(('הנחות עסקה'!$D$72*'הנחות עסקה'!$I$70)/365),,((0.1*(ROUND('מודל כלכלי'!$C$59*(1+0.05)^9,-4)))+((('הנחות עסקה'!$D$72*'הנחות עסקה'!$I$70)/365)*חישובים!$D$23*(0.1*(ROUND('מודל כלכלי'!$C$59*(1+0.05)^9,-4)))*0.5)))))+(-PV(חישובים!$D$21/12,(('הנחות עסקה'!$D$72*'הנחות עסקה'!$I$70)/365*12),(-FV('מודל כלכלי'!$C$20,(9+(('הנחות עסקה'!$D$71-'הנחות עסקה'!$D$72)*'הנחות עסקה'!$I$70)/365),,'מודל כלכלי'!$C$53)))))*היוון!$C$26)),ROUND('מודל כלכלי'!$C$59*(1+0.05)^9,-4)))*'מודל כלכלי'!$C$14+'מודל כלכלי'!$C$70,-3))+(ROUND(-FV(חישובים!$D$22,9*12,'מודל כלכלי'!$C$55),-3))+(-'מודל כלכלי'!$C$45)+(-MAX(0,(IF('מודל כלכלי'!$C$26="פליפ",((-PV(חישובים!$D$21/12,(('הנחות עסקה'!$D$72*'הנחות עסקה'!$I$70)/365*12),(-FV('מודל כלכלי'!$C$20,(9+(('הנחות עסקה'!$D$71-'הנחות עסקה'!$D$72)*'הנחות עסקה'!$I$70)/365),,'מודל כלכלי'!$C$53))))+((0.07*(ROUND('מודל כלכלי'!$C$59*(1+0.05)^9,-4)))+(0.13*(ROUND('מודל כלכלי'!$C$59*(1+0.05)^9,-4)))+(-PV(חישובים!$D$21,((('הנחות עסקה'!$D$72*'הנחות עסקה'!$I$70)-30)/365),,((0.7*(ROUND('מודל כלכלי'!$C$59*(1+0.05)^9,-4)))+(((('הנחות עסקה'!$D$72*'הנחות עסקה'!$I$70)-30)/365)*חישובים!$D$23*(0.7*(ROUND('מודל כלכלי'!$C$59*(1+0.05)^9,-4)))*0.5))))+(-PV(חישובים!$D$21,(('הנחות עסקה'!$D$72*'הנחות עסקה'!$I$70)/365),,((0.1*(ROUND('מודל כלכלי'!$C$59*(1+0.05)^9,-4)))+((('הנחות עסקה'!$D$72*'הנחות עסקה'!$I$70)/365)*חישובים!$D$23*(0.1*(ROUND('מודל כלכלי'!$C$59*(1+0.05)^9,-4)))*0.5)))))+(-(((0.07*(ROUND('מודל כלכלי'!$C$59*(1+0.05)^9,-4)))+(0.13*(ROUND('מודל כלכלי'!$C$59*(1+0.05)^9,-4)))+(-PV(חישובים!$D$21,((('הנחות עסקה'!$D$72*'הנחות עסקה'!$I$70)-30)/365),,((0.7*(ROUND('מודל כלכלי'!$C$59*(1+0.05)^9,-4)))+(((('הנחות עסקה'!$D$72*'הנחות עסקה'!$I$70)-30)/365)*חישובים!$D$23*(0.7*(ROUND('מודל כלכלי'!$C$59*(1+0.05)^9,-4)))*0.5))))+(-PV(חישובים!$D$21,(('הנחות עסקה'!$D$72*'הנחות עסקה'!$I$70)/365),,((0.1*(ROUND('מודל כלכלי'!$C$59*(1+0.05)^9,-4)))+((('הנחות עסקה'!$D$72*'הנחות עסקה'!$I$70)/365)*חישובים!$D$23*(0.1*(ROUND('מודל כלכלי'!$C$59*(1+0.05)^9,-4)))*0.5)))))+(-PV(חישובים!$D$21/12,(('הנחות עסקה'!$D$72*'הנחות עסקה'!$I$70)/365*12),(-FV('מודל כלכלי'!$C$20,(9+(('הנחות עסקה'!$D$71-'הנחות עסקה'!$D$72)*'הנחות עסקה'!$I$70)/365),,'מודל כלכלי'!$C$53)))))*היוון!$C$26)),ROUND('מודל כלכלי'!$C$59*(1+0.05)^9,-4)))-(חישובים!$D$28*(1+חישובים!$D$29)^9))*0.25),-4)</f>
        <v>2480000</v>
      </c>
      <c r="G21" s="24">
        <f>ROUND((IF('מודל כלכלי'!$C$26="פליפ",((-PV(חישובים!$D$21/12,(('הנחות עסקה'!$D$72*'הנחות עסקה'!$I$70)/365*12),(-FV('מודל כלכלי'!$C$20,(10+(('הנחות עסקה'!$D$71-'הנחות עסקה'!$D$72)*'הנחות עסקה'!$I$70)/365),,'מודל כלכלי'!$C$53))))+((0.07*(ROUND('מודל כלכלי'!$C$59*(1+0.05)^10,-4)))+(0.13*(ROUND('מודל כלכלי'!$C$59*(1+0.05)^10,-4)))+(-PV(חישובים!$D$21,((('הנחות עסקה'!$D$72*'הנחות עסקה'!$I$70)-30)/365),,((0.7*(ROUND('מודל כלכלי'!$C$59*(1+0.05)^10,-4)))+(((('הנחות עסקה'!$D$72*'הנחות עסקה'!$I$70)-30)/365)*חישובים!$D$23*(0.7*(ROUND('מודל כלכלי'!$C$59*(1+0.05)^10,-4)))*0.5))))+(-PV(חישובים!$D$21,(('הנחות עסקה'!$D$72*'הנחות עסקה'!$I$70)/365),,((0.1*(ROUND('מודל כלכלי'!$C$59*(1+0.05)^10,-4)))+((('הנחות עסקה'!$D$72*'הנחות עסקה'!$I$70)/365)*חישובים!$D$23*(0.1*(ROUND('מודל כלכלי'!$C$59*(1+0.05)^10,-4)))*0.5)))))+(-(((0.07*(ROUND('מודל כלכלי'!$C$59*(1+0.05)^10,-4)))+(0.13*(ROUND('מודל כלכלי'!$C$59*(1+0.05)^10,-4)))+(-PV(חישובים!$D$21,((('הנחות עסקה'!$D$72*'הנחות עסקה'!$I$70)-30)/365),,((0.7*(ROUND('מודל כלכלי'!$C$59*(1+0.05)^10,-4)))+(((('הנחות עסקה'!$D$72*'הנחות עסקה'!$I$70)-30)/365)*חישובים!$D$23*(0.7*(ROUND('מודל כלכלי'!$C$59*(1+0.05)^10,-4)))*0.5))))+(-PV(חישובים!$D$21,(('הנחות עסקה'!$D$72*'הנחות עסקה'!$I$70)/365),,((0.1*(ROUND('מודל כלכלי'!$C$59*(1+0.05)^10,-4)))+((('הנחות עסקה'!$D$72*'הנחות עסקה'!$I$70)/365)*חישובים!$D$23*(0.1*(ROUND('מודל כלכלי'!$C$59*(1+0.05)^10,-4)))*0.5)))))+(-PV(חישובים!$D$21/12,(('הנחות עסקה'!$D$72*'הנחות עסקה'!$I$70)/365*12),(-FV('מודל כלכלי'!$C$20,(10+(('הנחות עסקה'!$D$71-'הנחות עסקה'!$D$72)*'הנחות עסקה'!$I$70)/365),,'מודל כלכלי'!$C$53)))))*היוון!$C$26)),ROUND('מודל כלכלי'!$C$59*(1+0.05)^10,-4)))+(ROUND(FV('מודל כלכלי'!$C$17/12,10*12,'מודל כלכלי'!$C$48,'מודל כלכלי'!$C$46),-4))+(ROUND(-'מודל כלכלי'!$C$66*(IF('מודל כלכלי'!$C$26="פליפ",((-PV(חישובים!$D$21/12,(('הנחות עסקה'!$D$72*'הנחות עסקה'!$I$70)/365*12),(-FV('מודל כלכלי'!$C$20,(10+(('הנחות עסקה'!$D$71-'הנחות עסקה'!$D$72)*'הנחות עסקה'!$I$70)/365),,'מודל כלכלי'!$C$53))))+((0.07*(ROUND('מודל כלכלי'!$C$59*(1+0.05)^10,-4)))+(0.13*(ROUND('מודל כלכלי'!$C$59*(1+0.05)^10,-4)))+(-PV(חישובים!$D$21,((('הנחות עסקה'!$D$72*'הנחות עסקה'!$I$70)-30)/365),,((0.7*(ROUND('מודל כלכלי'!$C$59*(1+0.05)^10,-4)))+(((('הנחות עסקה'!$D$72*'הנחות עסקה'!$I$70)-30)/365)*חישובים!$D$23*(0.7*(ROUND('מודל כלכלי'!$C$59*(1+0.05)^10,-4)))*0.5))))+(-PV(חישובים!$D$21,(('הנחות עסקה'!$D$72*'הנחות עסקה'!$I$70)/365),,((0.1*(ROUND('מודל כלכלי'!$C$59*(1+0.05)^10,-4)))+((('הנחות עסקה'!$D$72*'הנחות עסקה'!$I$70)/365)*חישובים!$D$23*(0.1*(ROUND('מודל כלכלי'!$C$59*(1+0.05)^10,-4)))*0.5)))))+(-(((0.07*(ROUND('מודל כלכלי'!$C$59*(1+0.05)^10,-4)))+(0.13*(ROUND('מודל כלכלי'!$C$59*(1+0.05)^10,-4)))+(-PV(חישובים!$D$21,((('הנחות עסקה'!$D$72*'הנחות עסקה'!$I$70)-30)/365),,((0.7*(ROUND('מודל כלכלי'!$C$59*(1+0.05)^10,-4)))+(((('הנחות עסקה'!$D$72*'הנחות עסקה'!$I$70)-30)/365)*חישובים!$D$23*(0.7*(ROUND('מודל כלכלי'!$C$59*(1+0.05)^10,-4)))*0.5))))+(-PV(חישובים!$D$21,(('הנחות עסקה'!$D$72*'הנחות עסקה'!$I$70)/365),,((0.1*(ROUND('מודל כלכלי'!$C$59*(1+0.05)^10,-4)))+((('הנחות עסקה'!$D$72*'הנחות עסקה'!$I$70)/365)*חישובים!$D$23*(0.1*(ROUND('מודל כלכלי'!$C$59*(1+0.05)^10,-4)))*0.5)))))+(-PV(חישובים!$D$21/12,(('הנחות עסקה'!$D$72*'הנחות עסקה'!$I$70)/365*12),(-FV('מודל כלכלי'!$C$20,(10+(('הנחות עסקה'!$D$71-'הנחות עסקה'!$D$72)*'הנחות עסקה'!$I$70)/365),,'מודל כלכלי'!$C$53)))))*היוון!$C$26)),ROUND('מודל כלכלי'!$C$59*(1+0.05)^10,-4)))*'מודל כלכלי'!$C$14-'מודל כלכלי'!$C$68*(IF('מודל כלכלי'!$C$26="פליפ",((-PV(חישובים!$D$21/12,(('הנחות עסקה'!$D$72*'הנחות עסקה'!$I$70)/365*12),(-FV('מודל כלכלי'!$C$20,(10+(('הנחות עסקה'!$D$71-'הנחות עסקה'!$D$72)*'הנחות עסקה'!$I$70)/365),,'מודל כלכלי'!$C$53))))+((0.07*(ROUND('מודל כלכלי'!$C$59*(1+0.05)^10,-4)))+(0.13*(ROUND('מודל כלכלי'!$C$59*(1+0.05)^10,-4)))+(-PV(חישובים!$D$21,((('הנחות עסקה'!$D$72*'הנחות עסקה'!$I$70)-30)/365),,((0.7*(ROUND('מודל כלכלי'!$C$59*(1+0.05)^10,-4)))+(((('הנחות עסקה'!$D$72*'הנחות עסקה'!$I$70)-30)/365)*חישובים!$D$23*(0.7*(ROUND('מודל כלכלי'!$C$59*(1+0.05)^10,-4)))*0.5))))+(-PV(חישובים!$D$21,(('הנחות עסקה'!$D$72*'הנחות עסקה'!$I$70)/365),,((0.1*(ROUND('מודל כלכלי'!$C$59*(1+0.05)^10,-4)))+((('הנחות עסקה'!$D$72*'הנחות עסקה'!$I$70)/365)*חישובים!$D$23*(0.1*(ROUND('מודל כלכלי'!$C$59*(1+0.05)^10,-4)))*0.5)))))+(-(((0.07*(ROUND('מודל כלכלי'!$C$59*(1+0.05)^10,-4)))+(0.13*(ROUND('מודל כלכלי'!$C$59*(1+0.05)^10,-4)))+(-PV(חישובים!$D$21,((('הנחות עסקה'!$D$72*'הנחות עסקה'!$I$70)-30)/365),,((0.7*(ROUND('מודל כלכלי'!$C$59*(1+0.05)^10,-4)))+(((('הנחות עסקה'!$D$72*'הנחות עסקה'!$I$70)-30)/365)*חישובים!$D$23*(0.7*(ROUND('מודל כלכלי'!$C$59*(1+0.05)^10,-4)))*0.5))))+(-PV(חישובים!$D$21,(('הנחות עסקה'!$D$72*'הנחות עסקה'!$I$70)/365),,((0.1*(ROUND('מודל כלכלי'!$C$59*(1+0.05)^10,-4)))+((('הנחות עסקה'!$D$72*'הנחות עסקה'!$I$70)/365)*חישובים!$D$23*(0.1*(ROUND('מודל כלכלי'!$C$59*(1+0.05)^10,-4)))*0.5)))))+(-PV(חישובים!$D$21/12,(('הנחות עסקה'!$D$72*'הנחות עסקה'!$I$70)/365*12),(-FV('מודל כלכלי'!$C$20,(10+(('הנחות עסקה'!$D$71-'הנחות עסקה'!$D$72)*'הנחות עסקה'!$I$70)/365),,'מודל כלכלי'!$C$53)))))*היוון!$C$26)),ROUND('מודל כלכלי'!$C$59*(1+0.05)^10,-4)))*'מודל כלכלי'!$C$14+'מודל כלכלי'!$C$70,-3))+(ROUND(-FV(חישובים!$D$22,10*12,'מודל כלכלי'!$C$55),-3))+(-'מודל כלכלי'!$C$45)+(-MAX(0,(IF('מודל כלכלי'!$C$26="פליפ",((-PV(חישובים!$D$21/12,(('הנחות עסקה'!$D$72*'הנחות עסקה'!$I$70)/365*12),(-FV('מודל כלכלי'!$C$20,(10+(('הנחות עסקה'!$D$71-'הנחות עסקה'!$D$72)*'הנחות עסקה'!$I$70)/365),,'מודל כלכלי'!$C$53))))+((0.07*(ROUND('מודל כלכלי'!$C$59*(1+0.05)^10,-4)))+(0.13*(ROUND('מודל כלכלי'!$C$59*(1+0.05)^10,-4)))+(-PV(חישובים!$D$21,((('הנחות עסקה'!$D$72*'הנחות עסקה'!$I$70)-30)/365),,((0.7*(ROUND('מודל כלכלי'!$C$59*(1+0.05)^10,-4)))+(((('הנחות עסקה'!$D$72*'הנחות עסקה'!$I$70)-30)/365)*חישובים!$D$23*(0.7*(ROUND('מודל כלכלי'!$C$59*(1+0.05)^10,-4)))*0.5))))+(-PV(חישובים!$D$21,(('הנחות עסקה'!$D$72*'הנחות עסקה'!$I$70)/365),,((0.1*(ROUND('מודל כלכלי'!$C$59*(1+0.05)^10,-4)))+((('הנחות עסקה'!$D$72*'הנחות עסקה'!$I$70)/365)*חישובים!$D$23*(0.1*(ROUND('מודל כלכלי'!$C$59*(1+0.05)^10,-4)))*0.5)))))+(-(((0.07*(ROUND('מודל כלכלי'!$C$59*(1+0.05)^10,-4)))+(0.13*(ROUND('מודל כלכלי'!$C$59*(1+0.05)^10,-4)))+(-PV(חישובים!$D$21,((('הנחות עסקה'!$D$72*'הנחות עסקה'!$I$70)-30)/365),,((0.7*(ROUND('מודל כלכלי'!$C$59*(1+0.05)^10,-4)))+(((('הנחות עסקה'!$D$72*'הנחות עסקה'!$I$70)-30)/365)*חישובים!$D$23*(0.7*(ROUND('מודל כלכלי'!$C$59*(1+0.05)^10,-4)))*0.5))))+(-PV(חישובים!$D$21,(('הנחות עסקה'!$D$72*'הנחות עסקה'!$I$70)/365),,((0.1*(ROUND('מודל כלכלי'!$C$59*(1+0.05)^10,-4)))+((('הנחות עסקה'!$D$72*'הנחות עסקה'!$I$70)/365)*חישובים!$D$23*(0.1*(ROUND('מודל כלכלי'!$C$59*(1+0.05)^10,-4)))*0.5)))))+(-PV(חישובים!$D$21/12,(('הנחות עסקה'!$D$72*'הנחות עסקה'!$I$70)/365*12),(-FV('מודל כלכלי'!$C$20,(10+(('הנחות עסקה'!$D$71-'הנחות עסקה'!$D$72)*'הנחות עסקה'!$I$70)/365),,'מודל כלכלי'!$C$53)))))*היוון!$C$26)),ROUND('מודל כלכלי'!$C$59*(1+0.05)^10,-4)))-(חישובים!$D$28*(1+חישובים!$D$29)^10))*0.25),-4)</f>
        <v>2710000</v>
      </c>
      <c r="H21" s="24">
        <f>ROUND((IF('מודל כלכלי'!$C$26="פליפ",((-PV(חישובים!$D$21/12,(('הנחות עסקה'!$D$72*'הנחות עסקה'!$I$70)/365*12),(-FV('מודל כלכלי'!$C$20,(11+(('הנחות עסקה'!$D$71-'הנחות עסקה'!$D$72)*'הנחות עסקה'!$I$70)/365),,'מודל כלכלי'!$C$53))))+((0.07*(ROUND('מודל כלכלי'!$C$59*(1+0.05)^11,-4)))+(0.13*(ROUND('מודל כלכלי'!$C$59*(1+0.05)^11,-4)))+(-PV(חישובים!$D$21,((('הנחות עסקה'!$D$72*'הנחות עסקה'!$I$70)-30)/365),,((0.7*(ROUND('מודל כלכלי'!$C$59*(1+0.05)^11,-4)))+(((('הנחות עסקה'!$D$72*'הנחות עסקה'!$I$70)-30)/365)*חישובים!$D$23*(0.7*(ROUND('מודל כלכלי'!$C$59*(1+0.05)^11,-4)))*0.5))))+(-PV(חישובים!$D$21,(('הנחות עסקה'!$D$72*'הנחות עסקה'!$I$70)/365),,((0.1*(ROUND('מודל כלכלי'!$C$59*(1+0.05)^11,-4)))+((('הנחות עסקה'!$D$72*'הנחות עסקה'!$I$70)/365)*חישובים!$D$23*(0.1*(ROUND('מודל כלכלי'!$C$59*(1+0.05)^11,-4)))*0.5)))))+(-(((0.07*(ROUND('מודל כלכלי'!$C$59*(1+0.05)^11,-4)))+(0.13*(ROUND('מודל כלכלי'!$C$59*(1+0.05)^11,-4)))+(-PV(חישובים!$D$21,((('הנחות עסקה'!$D$72*'הנחות עסקה'!$I$70)-30)/365),,((0.7*(ROUND('מודל כלכלי'!$C$59*(1+0.05)^11,-4)))+(((('הנחות עסקה'!$D$72*'הנחות עסקה'!$I$70)-30)/365)*חישובים!$D$23*(0.7*(ROUND('מודל כלכלי'!$C$59*(1+0.05)^11,-4)))*0.5))))+(-PV(חישובים!$D$21,(('הנחות עסקה'!$D$72*'הנחות עסקה'!$I$70)/365),,((0.1*(ROUND('מודל כלכלי'!$C$59*(1+0.05)^11,-4)))+((('הנחות עסקה'!$D$72*'הנחות עסקה'!$I$70)/365)*חישובים!$D$23*(0.1*(ROUND('מודל כלכלי'!$C$59*(1+0.05)^11,-4)))*0.5)))))+(-PV(חישובים!$D$21/12,(('הנחות עסקה'!$D$72*'הנחות עסקה'!$I$70)/365*12),(-FV('מודל כלכלי'!$C$20,(11+(('הנחות עסקה'!$D$71-'הנחות עסקה'!$D$72)*'הנחות עסקה'!$I$70)/365),,'מודל כלכלי'!$C$53)))))*היוון!$C$26)),ROUND('מודל כלכלי'!$C$59*(1+0.05)^11,-4)))+(ROUND(FV('מודל כלכלי'!$C$17/12,11*12,'מודל כלכלי'!$C$48,'מודל כלכלי'!$C$46),-4))+(ROUND(-'מודל כלכלי'!$C$66*(IF('מודל כלכלי'!$C$26="פליפ",((-PV(חישובים!$D$21/12,(('הנחות עסקה'!$D$72*'הנחות עסקה'!$I$70)/365*12),(-FV('מודל כלכלי'!$C$20,(11+(('הנחות עסקה'!$D$71-'הנחות עסקה'!$D$72)*'הנחות עסקה'!$I$70)/365),,'מודל כלכלי'!$C$53))))+((0.07*(ROUND('מודל כלכלי'!$C$59*(1+0.05)^11,-4)))+(0.13*(ROUND('מודל כלכלי'!$C$59*(1+0.05)^11,-4)))+(-PV(חישובים!$D$21,((('הנחות עסקה'!$D$72*'הנחות עסקה'!$I$70)-30)/365),,((0.7*(ROUND('מודל כלכלי'!$C$59*(1+0.05)^11,-4)))+(((('הנחות עסקה'!$D$72*'הנחות עסקה'!$I$70)-30)/365)*חישובים!$D$23*(0.7*(ROUND('מודל כלכלי'!$C$59*(1+0.05)^11,-4)))*0.5))))+(-PV(חישובים!$D$21,(('הנחות עסקה'!$D$72*'הנחות עסקה'!$I$70)/365),,((0.1*(ROUND('מודל כלכלי'!$C$59*(1+0.05)^11,-4)))+((('הנחות עסקה'!$D$72*'הנחות עסקה'!$I$70)/365)*חישובים!$D$23*(0.1*(ROUND('מודל כלכלי'!$C$59*(1+0.05)^11,-4)))*0.5)))))+(-(((0.07*(ROUND('מודל כלכלי'!$C$59*(1+0.05)^11,-4)))+(0.13*(ROUND('מודל כלכלי'!$C$59*(1+0.05)^11,-4)))+(-PV(חישובים!$D$21,((('הנחות עסקה'!$D$72*'הנחות עסקה'!$I$70)-30)/365),,((0.7*(ROUND('מודל כלכלי'!$C$59*(1+0.05)^11,-4)))+(((('הנחות עסקה'!$D$72*'הנחות עסקה'!$I$70)-30)/365)*חישובים!$D$23*(0.7*(ROUND('מודל כלכלי'!$C$59*(1+0.05)^11,-4)))*0.5))))+(-PV(חישובים!$D$21,(('הנחות עסקה'!$D$72*'הנחות עסקה'!$I$70)/365),,((0.1*(ROUND('מודל כלכלי'!$C$59*(1+0.05)^11,-4)))+((('הנחות עסקה'!$D$72*'הנחות עסקה'!$I$70)/365)*חישובים!$D$23*(0.1*(ROUND('מודל כלכלי'!$C$59*(1+0.05)^11,-4)))*0.5)))))+(-PV(חישובים!$D$21/12,(('הנחות עסקה'!$D$72*'הנחות עסקה'!$I$70)/365*12),(-FV('מודל כלכלי'!$C$20,(11+(('הנחות עסקה'!$D$71-'הנחות עסקה'!$D$72)*'הנחות עסקה'!$I$70)/365),,'מודל כלכלי'!$C$53)))))*היוון!$C$26)),ROUND('מודל כלכלי'!$C$59*(1+0.05)^11,-4)))*'מודל כלכלי'!$C$14-'מודל כלכלי'!$C$68*(IF('מודל כלכלי'!$C$26="פליפ",((-PV(חישובים!$D$21/12,(('הנחות עסקה'!$D$72*'הנחות עסקה'!$I$70)/365*12),(-FV('מודל כלכלי'!$C$20,(11+(('הנחות עסקה'!$D$71-'הנחות עסקה'!$D$72)*'הנחות עסקה'!$I$70)/365),,'מודל כלכלי'!$C$53))))+((0.07*(ROUND('מודל כלכלי'!$C$59*(1+0.05)^11,-4)))+(0.13*(ROUND('מודל כלכלי'!$C$59*(1+0.05)^11,-4)))+(-PV(חישובים!$D$21,((('הנחות עסקה'!$D$72*'הנחות עסקה'!$I$70)-30)/365),,((0.7*(ROUND('מודל כלכלי'!$C$59*(1+0.05)^11,-4)))+(((('הנחות עסקה'!$D$72*'הנחות עסקה'!$I$70)-30)/365)*חישובים!$D$23*(0.7*(ROUND('מודל כלכלי'!$C$59*(1+0.05)^11,-4)))*0.5))))+(-PV(חישובים!$D$21,(('הנחות עסקה'!$D$72*'הנחות עסקה'!$I$70)/365),,((0.1*(ROUND('מודל כלכלי'!$C$59*(1+0.05)^11,-4)))+((('הנחות עסקה'!$D$72*'הנחות עסקה'!$I$70)/365)*חישובים!$D$23*(0.1*(ROUND('מודל כלכלי'!$C$59*(1+0.05)^11,-4)))*0.5)))))+(-(((0.07*(ROUND('מודל כלכלי'!$C$59*(1+0.05)^11,-4)))+(0.13*(ROUND('מודל כלכלי'!$C$59*(1+0.05)^11,-4)))+(-PV(חישובים!$D$21,((('הנחות עסקה'!$D$72*'הנחות עסקה'!$I$70)-30)/365),,((0.7*(ROUND('מודל כלכלי'!$C$59*(1+0.05)^11,-4)))+(((('הנחות עסקה'!$D$72*'הנחות עסקה'!$I$70)-30)/365)*חישובים!$D$23*(0.7*(ROUND('מודל כלכלי'!$C$59*(1+0.05)^11,-4)))*0.5))))+(-PV(חישובים!$D$21,(('הנחות עסקה'!$D$72*'הנחות עסקה'!$I$70)/365),,((0.1*(ROUND('מודל כלכלי'!$C$59*(1+0.05)^11,-4)))+((('הנחות עסקה'!$D$72*'הנחות עסקה'!$I$70)/365)*חישובים!$D$23*(0.1*(ROUND('מודל כלכלי'!$C$59*(1+0.05)^11,-4)))*0.5)))))+(-PV(חישובים!$D$21/12,(('הנחות עסקה'!$D$72*'הנחות עסקה'!$I$70)/365*12),(-FV('מודל כלכלי'!$C$20,(11+(('הנחות עסקה'!$D$71-'הנחות עסקה'!$D$72)*'הנחות עסקה'!$I$70)/365),,'מודל כלכלי'!$C$53)))))*היוון!$C$26)),ROUND('מודל כלכלי'!$C$59*(1+0.05)^11,-4)))*'מודל כלכלי'!$C$14+'מודל כלכלי'!$C$70,-3))+(ROUND(-FV(חישובים!$D$22,11*12,'מודל כלכלי'!$C$55),-3))+(-'מודל כלכלי'!$C$45)+(-MAX(0,(IF('מודל כלכלי'!$C$26="פליפ",((-PV(חישובים!$D$21/12,(('הנחות עסקה'!$D$72*'הנחות עסקה'!$I$70)/365*12),(-FV('מודל כלכלי'!$C$20,(11+(('הנחות עסקה'!$D$71-'הנחות עסקה'!$D$72)*'הנחות עסקה'!$I$70)/365),,'מודל כלכלי'!$C$53))))+((0.07*(ROUND('מודל כלכלי'!$C$59*(1+0.05)^11,-4)))+(0.13*(ROUND('מודל כלכלי'!$C$59*(1+0.05)^11,-4)))+(-PV(חישובים!$D$21,((('הנחות עסקה'!$D$72*'הנחות עסקה'!$I$70)-30)/365),,((0.7*(ROUND('מודל כלכלי'!$C$59*(1+0.05)^11,-4)))+(((('הנחות עסקה'!$D$72*'הנחות עסקה'!$I$70)-30)/365)*חישובים!$D$23*(0.7*(ROUND('מודל כלכלי'!$C$59*(1+0.05)^11,-4)))*0.5))))+(-PV(חישובים!$D$21,(('הנחות עסקה'!$D$72*'הנחות עסקה'!$I$70)/365),,((0.1*(ROUND('מודל כלכלי'!$C$59*(1+0.05)^11,-4)))+((('הנחות עסקה'!$D$72*'הנחות עסקה'!$I$70)/365)*חישובים!$D$23*(0.1*(ROUND('מודל כלכלי'!$C$59*(1+0.05)^11,-4)))*0.5)))))+(-(((0.07*(ROUND('מודל כלכלי'!$C$59*(1+0.05)^11,-4)))+(0.13*(ROUND('מודל כלכלי'!$C$59*(1+0.05)^11,-4)))+(-PV(חישובים!$D$21,((('הנחות עסקה'!$D$72*'הנחות עסקה'!$I$70)-30)/365),,((0.7*(ROUND('מודל כלכלי'!$C$59*(1+0.05)^11,-4)))+(((('הנחות עסקה'!$D$72*'הנחות עסקה'!$I$70)-30)/365)*חישובים!$D$23*(0.7*(ROUND('מודל כלכלי'!$C$59*(1+0.05)^11,-4)))*0.5))))+(-PV(חישובים!$D$21,(('הנחות עסקה'!$D$72*'הנחות עסקה'!$I$70)/365),,((0.1*(ROUND('מודל כלכלי'!$C$59*(1+0.05)^11,-4)))+((('הנחות עסקה'!$D$72*'הנחות עסקה'!$I$70)/365)*חישובים!$D$23*(0.1*(ROUND('מודל כלכלי'!$C$59*(1+0.05)^11,-4)))*0.5)))))+(-PV(חישובים!$D$21/12,(('הנחות עסקה'!$D$72*'הנחות עסקה'!$I$70)/365*12),(-FV('מודל כלכלי'!$C$20,(11+(('הנחות עסקה'!$D$71-'הנחות עסקה'!$D$72)*'הנחות עסקה'!$I$70)/365),,'מודל כלכלי'!$C$53)))))*היוון!$C$26)),ROUND('מודל כלכלי'!$C$59*(1+0.05)^11,-4)))-(חישובים!$D$28*(1+חישובים!$D$29)^11))*0.25),-4)</f>
        <v>2930000</v>
      </c>
      <c r="I21" s="24">
        <f>ROUND((IF('מודל כלכלי'!$C$26="פליפ",((-PV(חישובים!$D$21/12,(('הנחות עסקה'!$D$72*'הנחות עסקה'!$I$70)/365*12),(-FV('מודל כלכלי'!$C$20,(12+(('הנחות עסקה'!$D$71-'הנחות עסקה'!$D$72)*'הנחות עסקה'!$I$70)/365),,'מודל כלכלי'!$C$53))))+((0.07*(ROUND('מודל כלכלי'!$C$59*(1+0.05)^12,-4)))+(0.13*(ROUND('מודל כלכלי'!$C$59*(1+0.05)^12,-4)))+(-PV(חישובים!$D$21,((('הנחות עסקה'!$D$72*'הנחות עסקה'!$I$70)-30)/365),,((0.7*(ROUND('מודל כלכלי'!$C$59*(1+0.05)^12,-4)))+(((('הנחות עסקה'!$D$72*'הנחות עסקה'!$I$70)-30)/365)*חישובים!$D$23*(0.7*(ROUND('מודל כלכלי'!$C$59*(1+0.05)^12,-4)))*0.5))))+(-PV(חישובים!$D$21,(('הנחות עסקה'!$D$72*'הנחות עסקה'!$I$70)/365),,((0.1*(ROUND('מודל כלכלי'!$C$59*(1+0.05)^12,-4)))+((('הנחות עסקה'!$D$72*'הנחות עסקה'!$I$70)/365)*חישובים!$D$23*(0.1*(ROUND('מודל כלכלי'!$C$59*(1+0.05)^12,-4)))*0.5)))))+(-(((0.07*(ROUND('מודל כלכלי'!$C$59*(1+0.05)^12,-4)))+(0.13*(ROUND('מודל כלכלי'!$C$59*(1+0.05)^12,-4)))+(-PV(חישובים!$D$21,((('הנחות עסקה'!$D$72*'הנחות עסקה'!$I$70)-30)/365),,((0.7*(ROUND('מודל כלכלי'!$C$59*(1+0.05)^12,-4)))+(((('הנחות עסקה'!$D$72*'הנחות עסקה'!$I$70)-30)/365)*חישובים!$D$23*(0.7*(ROUND('מודל כלכלי'!$C$59*(1+0.05)^12,-4)))*0.5))))+(-PV(חישובים!$D$21,(('הנחות עסקה'!$D$72*'הנחות עסקה'!$I$70)/365),,((0.1*(ROUND('מודל כלכלי'!$C$59*(1+0.05)^12,-4)))+((('הנחות עסקה'!$D$72*'הנחות עסקה'!$I$70)/365)*חישובים!$D$23*(0.1*(ROUND('מודל כלכלי'!$C$59*(1+0.05)^12,-4)))*0.5)))))+(-PV(חישובים!$D$21/12,(('הנחות עסקה'!$D$72*'הנחות עסקה'!$I$70)/365*12),(-FV('מודל כלכלי'!$C$20,(12+(('הנחות עסקה'!$D$71-'הנחות עסקה'!$D$72)*'הנחות עסקה'!$I$70)/365),,'מודל כלכלי'!$C$53)))))*היוון!$C$26)),ROUND('מודל כלכלי'!$C$59*(1+0.05)^12,-4)))+(ROUND(FV('מודל כלכלי'!$C$17/12,12*12,'מודל כלכלי'!$C$48,'מודל כלכלי'!$C$46),-4))+(ROUND(-'מודל כלכלי'!$C$66*(IF('מודל כלכלי'!$C$26="פליפ",((-PV(חישובים!$D$21/12,(('הנחות עסקה'!$D$72*'הנחות עסקה'!$I$70)/365*12),(-FV('מודל כלכלי'!$C$20,(12+(('הנחות עסקה'!$D$71-'הנחות עסקה'!$D$72)*'הנחות עסקה'!$I$70)/365),,'מודל כלכלי'!$C$53))))+((0.07*(ROUND('מודל כלכלי'!$C$59*(1+0.05)^12,-4)))+(0.13*(ROUND('מודל כלכלי'!$C$59*(1+0.05)^12,-4)))+(-PV(חישובים!$D$21,((('הנחות עסקה'!$D$72*'הנחות עסקה'!$I$70)-30)/365),,((0.7*(ROUND('מודל כלכלי'!$C$59*(1+0.05)^12,-4)))+(((('הנחות עסקה'!$D$72*'הנחות עסקה'!$I$70)-30)/365)*חישובים!$D$23*(0.7*(ROUND('מודל כלכלי'!$C$59*(1+0.05)^12,-4)))*0.5))))+(-PV(חישובים!$D$21,(('הנחות עסקה'!$D$72*'הנחות עסקה'!$I$70)/365),,((0.1*(ROUND('מודל כלכלי'!$C$59*(1+0.05)^12,-4)))+((('הנחות עסקה'!$D$72*'הנחות עסקה'!$I$70)/365)*חישובים!$D$23*(0.1*(ROUND('מודל כלכלי'!$C$59*(1+0.05)^12,-4)))*0.5)))))+(-(((0.07*(ROUND('מודל כלכלי'!$C$59*(1+0.05)^12,-4)))+(0.13*(ROUND('מודל כלכלי'!$C$59*(1+0.05)^12,-4)))+(-PV(חישובים!$D$21,((('הנחות עסקה'!$D$72*'הנחות עסקה'!$I$70)-30)/365),,((0.7*(ROUND('מודל כלכלי'!$C$59*(1+0.05)^12,-4)))+(((('הנחות עסקה'!$D$72*'הנחות עסקה'!$I$70)-30)/365)*חישובים!$D$23*(0.7*(ROUND('מודל כלכלי'!$C$59*(1+0.05)^12,-4)))*0.5))))+(-PV(חישובים!$D$21,(('הנחות עסקה'!$D$72*'הנחות עסקה'!$I$70)/365),,((0.1*(ROUND('מודל כלכלי'!$C$59*(1+0.05)^12,-4)))+((('הנחות עסקה'!$D$72*'הנחות עסקה'!$I$70)/365)*חישובים!$D$23*(0.1*(ROUND('מודל כלכלי'!$C$59*(1+0.05)^12,-4)))*0.5)))))+(-PV(חישובים!$D$21/12,(('הנחות עסקה'!$D$72*'הנחות עסקה'!$I$70)/365*12),(-FV('מודל כלכלי'!$C$20,(12+(('הנחות עסקה'!$D$71-'הנחות עסקה'!$D$72)*'הנחות עסקה'!$I$70)/365),,'מודל כלכלי'!$C$53)))))*היוון!$C$26)),ROUND('מודל כלכלי'!$C$59*(1+0.05)^12,-4)))*'מודל כלכלי'!$C$14-'מודל כלכלי'!$C$68*(IF('מודל כלכלי'!$C$26="פליפ",((-PV(חישובים!$D$21/12,(('הנחות עסקה'!$D$72*'הנחות עסקה'!$I$70)/365*12),(-FV('מודל כלכלי'!$C$20,(12+(('הנחות עסקה'!$D$71-'הנחות עסקה'!$D$72)*'הנחות עסקה'!$I$70)/365),,'מודל כלכלי'!$C$53))))+((0.07*(ROUND('מודל כלכלי'!$C$59*(1+0.05)^12,-4)))+(0.13*(ROUND('מודל כלכלי'!$C$59*(1+0.05)^12,-4)))+(-PV(חישובים!$D$21,((('הנחות עסקה'!$D$72*'הנחות עסקה'!$I$70)-30)/365),,((0.7*(ROUND('מודל כלכלי'!$C$59*(1+0.05)^12,-4)))+(((('הנחות עסקה'!$D$72*'הנחות עסקה'!$I$70)-30)/365)*חישובים!$D$23*(0.7*(ROUND('מודל כלכלי'!$C$59*(1+0.05)^12,-4)))*0.5))))+(-PV(חישובים!$D$21,(('הנחות עסקה'!$D$72*'הנחות עסקה'!$I$70)/365),,((0.1*(ROUND('מודל כלכלי'!$C$59*(1+0.05)^12,-4)))+((('הנחות עסקה'!$D$72*'הנחות עסקה'!$I$70)/365)*חישובים!$D$23*(0.1*(ROUND('מודל כלכלי'!$C$59*(1+0.05)^12,-4)))*0.5)))))+(-(((0.07*(ROUND('מודל כלכלי'!$C$59*(1+0.05)^12,-4)))+(0.13*(ROUND('מודל כלכלי'!$C$59*(1+0.05)^12,-4)))+(-PV(חישובים!$D$21,((('הנחות עסקה'!$D$72*'הנחות עסקה'!$I$70)-30)/365),,((0.7*(ROUND('מודל כלכלי'!$C$59*(1+0.05)^12,-4)))+(((('הנחות עסקה'!$D$72*'הנחות עסקה'!$I$70)-30)/365)*חישובים!$D$23*(0.7*(ROUND('מודל כלכלי'!$C$59*(1+0.05)^12,-4)))*0.5))))+(-PV(חישובים!$D$21,(('הנחות עסקה'!$D$72*'הנחות עסקה'!$I$70)/365),,((0.1*(ROUND('מודל כלכלי'!$C$59*(1+0.05)^12,-4)))+((('הנחות עסקה'!$D$72*'הנחות עסקה'!$I$70)/365)*חישובים!$D$23*(0.1*(ROUND('מודל כלכלי'!$C$59*(1+0.05)^12,-4)))*0.5)))))+(-PV(חישובים!$D$21/12,(('הנחות עסקה'!$D$72*'הנחות עסקה'!$I$70)/365*12),(-FV('מודל כלכלי'!$C$20,(12+(('הנחות עסקה'!$D$71-'הנחות עסקה'!$D$72)*'הנחות עסקה'!$I$70)/365),,'מודל כלכלי'!$C$53)))))*היוון!$C$26)),ROUND('מודל כלכלי'!$C$59*(1+0.05)^12,-4)))*'מודל כלכלי'!$C$14+'מודל כלכלי'!$C$70,-3))+(ROUND(-FV(חישובים!$D$22,12*12,'מודל כלכלי'!$C$55),-3))+(-'מודל כלכלי'!$C$45)+(-MAX(0,(IF('מודל כלכלי'!$C$26="פליפ",((-PV(חישובים!$D$21/12,(('הנחות עסקה'!$D$72*'הנחות עסקה'!$I$70)/365*12),(-FV('מודל כלכלי'!$C$20,(12+(('הנחות עסקה'!$D$71-'הנחות עסקה'!$D$72)*'הנחות עסקה'!$I$70)/365),,'מודל כלכלי'!$C$53))))+((0.07*(ROUND('מודל כלכלי'!$C$59*(1+0.05)^12,-4)))+(0.13*(ROUND('מודל כלכלי'!$C$59*(1+0.05)^12,-4)))+(-PV(חישובים!$D$21,((('הנחות עסקה'!$D$72*'הנחות עסקה'!$I$70)-30)/365),,((0.7*(ROUND('מודל כלכלי'!$C$59*(1+0.05)^12,-4)))+(((('הנחות עסקה'!$D$72*'הנחות עסקה'!$I$70)-30)/365)*חישובים!$D$23*(0.7*(ROUND('מודל כלכלי'!$C$59*(1+0.05)^12,-4)))*0.5))))+(-PV(חישובים!$D$21,(('הנחות עסקה'!$D$72*'הנחות עסקה'!$I$70)/365),,((0.1*(ROUND('מודל כלכלי'!$C$59*(1+0.05)^12,-4)))+((('הנחות עסקה'!$D$72*'הנחות עסקה'!$I$70)/365)*חישובים!$D$23*(0.1*(ROUND('מודל כלכלי'!$C$59*(1+0.05)^12,-4)))*0.5)))))+(-(((0.07*(ROUND('מודל כלכלי'!$C$59*(1+0.05)^12,-4)))+(0.13*(ROUND('מודל כלכלי'!$C$59*(1+0.05)^12,-4)))+(-PV(חישובים!$D$21,((('הנחות עסקה'!$D$72*'הנחות עסקה'!$I$70)-30)/365),,((0.7*(ROUND('מודל כלכלי'!$C$59*(1+0.05)^12,-4)))+(((('הנחות עסקה'!$D$72*'הנחות עסקה'!$I$70)-30)/365)*חישובים!$D$23*(0.7*(ROUND('מודל כלכלי'!$C$59*(1+0.05)^12,-4)))*0.5))))+(-PV(חישובים!$D$21,(('הנחות עסקה'!$D$72*'הנחות עסקה'!$I$70)/365),,((0.1*(ROUND('מודל כלכלי'!$C$59*(1+0.05)^12,-4)))+((('הנחות עסקה'!$D$72*'הנחות עסקה'!$I$70)/365)*חישובים!$D$23*(0.1*(ROUND('מודל כלכלי'!$C$59*(1+0.05)^12,-4)))*0.5)))))+(-PV(חישובים!$D$21/12,(('הנחות עסקה'!$D$72*'הנחות עסקה'!$I$70)/365*12),(-FV('מודל כלכלי'!$C$20,(12+(('הנחות עסקה'!$D$71-'הנחות עסקה'!$D$72)*'הנחות עסקה'!$I$70)/365),,'מודל כלכלי'!$C$53)))))*היוון!$C$26)),ROUND('מודל כלכלי'!$C$59*(1+0.05)^12,-4)))-(חישובים!$D$28*(1+חישובים!$D$29)^12))*0.25),-4)</f>
        <v>3170000</v>
      </c>
      <c r="J21" s="24">
        <f>ROUND((IF('מודל כלכלי'!$C$26="פליפ",((-PV(חישובים!$D$21/12,(('הנחות עסקה'!$D$72*'הנחות עסקה'!$I$70)/365*12),(-FV('מודל כלכלי'!$C$20,(13+(('הנחות עסקה'!$D$71-'הנחות עסקה'!$D$72)*'הנחות עסקה'!$I$70)/365),,'מודל כלכלי'!$C$53))))+((0.07*(ROUND('מודל כלכלי'!$C$59*(1+0.05)^13,-4)))+(0.13*(ROUND('מודל כלכלי'!$C$59*(1+0.05)^13,-4)))+(-PV(חישובים!$D$21,((('הנחות עסקה'!$D$72*'הנחות עסקה'!$I$70)-30)/365),,((0.7*(ROUND('מודל כלכלי'!$C$59*(1+0.05)^13,-4)))+(((('הנחות עסקה'!$D$72*'הנחות עסקה'!$I$70)-30)/365)*חישובים!$D$23*(0.7*(ROUND('מודל כלכלי'!$C$59*(1+0.05)^13,-4)))*0.5))))+(-PV(חישובים!$D$21,(('הנחות עסקה'!$D$72*'הנחות עסקה'!$I$70)/365),,((0.1*(ROUND('מודל כלכלי'!$C$59*(1+0.05)^13,-4)))+((('הנחות עסקה'!$D$72*'הנחות עסקה'!$I$70)/365)*חישובים!$D$23*(0.1*(ROUND('מודל כלכלי'!$C$59*(1+0.05)^13,-4)))*0.5)))))+(-(((0.07*(ROUND('מודל כלכלי'!$C$59*(1+0.05)^13,-4)))+(0.13*(ROUND('מודל כלכלי'!$C$59*(1+0.05)^13,-4)))+(-PV(חישובים!$D$21,((('הנחות עסקה'!$D$72*'הנחות עסקה'!$I$70)-30)/365),,((0.7*(ROUND('מודל כלכלי'!$C$59*(1+0.05)^13,-4)))+(((('הנחות עסקה'!$D$72*'הנחות עסקה'!$I$70)-30)/365)*חישובים!$D$23*(0.7*(ROUND('מודל כלכלי'!$C$59*(1+0.05)^13,-4)))*0.5))))+(-PV(חישובים!$D$21,(('הנחות עסקה'!$D$72*'הנחות עסקה'!$I$70)/365),,((0.1*(ROUND('מודל כלכלי'!$C$59*(1+0.05)^13,-4)))+((('הנחות עסקה'!$D$72*'הנחות עסקה'!$I$70)/365)*חישובים!$D$23*(0.1*(ROUND('מודל כלכלי'!$C$59*(1+0.05)^13,-4)))*0.5)))))+(-PV(חישובים!$D$21/12,(('הנחות עסקה'!$D$72*'הנחות עסקה'!$I$70)/365*12),(-FV('מודל כלכלי'!$C$20,(13+(('הנחות עסקה'!$D$71-'הנחות עסקה'!$D$72)*'הנחות עסקה'!$I$70)/365),,'מודל כלכלי'!$C$53)))))*היוון!$C$26)),ROUND('מודל כלכלי'!$C$59*(1+0.05)^13,-4)))+(ROUND(FV('מודל כלכלי'!$C$17/12,13*12,'מודל כלכלי'!$C$48,'מודל כלכלי'!$C$46),-4))+(ROUND(-'מודל כלכלי'!$C$66*(IF('מודל כלכלי'!$C$26="פליפ",((-PV(חישובים!$D$21/12,(('הנחות עסקה'!$D$72*'הנחות עסקה'!$I$70)/365*12),(-FV('מודל כלכלי'!$C$20,(13+(('הנחות עסקה'!$D$71-'הנחות עסקה'!$D$72)*'הנחות עסקה'!$I$70)/365),,'מודל כלכלי'!$C$53))))+((0.07*(ROUND('מודל כלכלי'!$C$59*(1+0.05)^13,-4)))+(0.13*(ROUND('מודל כלכלי'!$C$59*(1+0.05)^13,-4)))+(-PV(חישובים!$D$21,((('הנחות עסקה'!$D$72*'הנחות עסקה'!$I$70)-30)/365),,((0.7*(ROUND('מודל כלכלי'!$C$59*(1+0.05)^13,-4)))+(((('הנחות עסקה'!$D$72*'הנחות עסקה'!$I$70)-30)/365)*חישובים!$D$23*(0.7*(ROUND('מודל כלכלי'!$C$59*(1+0.05)^13,-4)))*0.5))))+(-PV(חישובים!$D$21,(('הנחות עסקה'!$D$72*'הנחות עסקה'!$I$70)/365),,((0.1*(ROUND('מודל כלכלי'!$C$59*(1+0.05)^13,-4)))+((('הנחות עסקה'!$D$72*'הנחות עסקה'!$I$70)/365)*חישובים!$D$23*(0.1*(ROUND('מודל כלכלי'!$C$59*(1+0.05)^13,-4)))*0.5)))))+(-(((0.07*(ROUND('מודל כלכלי'!$C$59*(1+0.05)^13,-4)))+(0.13*(ROUND('מודל כלכלי'!$C$59*(1+0.05)^13,-4)))+(-PV(חישובים!$D$21,((('הנחות עסקה'!$D$72*'הנחות עסקה'!$I$70)-30)/365),,((0.7*(ROUND('מודל כלכלי'!$C$59*(1+0.05)^13,-4)))+(((('הנחות עסקה'!$D$72*'הנחות עסקה'!$I$70)-30)/365)*חישובים!$D$23*(0.7*(ROUND('מודל כלכלי'!$C$59*(1+0.05)^13,-4)))*0.5))))+(-PV(חישובים!$D$21,(('הנחות עסקה'!$D$72*'הנחות עסקה'!$I$70)/365),,((0.1*(ROUND('מודל כלכלי'!$C$59*(1+0.05)^13,-4)))+((('הנחות עסקה'!$D$72*'הנחות עסקה'!$I$70)/365)*חישובים!$D$23*(0.1*(ROUND('מודל כלכלי'!$C$59*(1+0.05)^13,-4)))*0.5)))))+(-PV(חישובים!$D$21/12,(('הנחות עסקה'!$D$72*'הנחות עסקה'!$I$70)/365*12),(-FV('מודל כלכלי'!$C$20,(13+(('הנחות עסקה'!$D$71-'הנחות עסקה'!$D$72)*'הנחות עסקה'!$I$70)/365),,'מודל כלכלי'!$C$53)))))*היוון!$C$26)),ROUND('מודל כלכלי'!$C$59*(1+0.05)^13,-4)))*'מודל כלכלי'!$C$14-'מודל כלכלי'!$C$68*(IF('מודל כלכלי'!$C$26="פליפ",((-PV(חישובים!$D$21/12,(('הנחות עסקה'!$D$72*'הנחות עסקה'!$I$70)/365*12),(-FV('מודל כלכלי'!$C$20,(13+(('הנחות עסקה'!$D$71-'הנחות עסקה'!$D$72)*'הנחות עסקה'!$I$70)/365),,'מודל כלכלי'!$C$53))))+((0.07*(ROUND('מודל כלכלי'!$C$59*(1+0.05)^13,-4)))+(0.13*(ROUND('מודל כלכלי'!$C$59*(1+0.05)^13,-4)))+(-PV(חישובים!$D$21,((('הנחות עסקה'!$D$72*'הנחות עסקה'!$I$70)-30)/365),,((0.7*(ROUND('מודל כלכלי'!$C$59*(1+0.05)^13,-4)))+(((('הנחות עסקה'!$D$72*'הנחות עסקה'!$I$70)-30)/365)*חישובים!$D$23*(0.7*(ROUND('מודל כלכלי'!$C$59*(1+0.05)^13,-4)))*0.5))))+(-PV(חישובים!$D$21,(('הנחות עסקה'!$D$72*'הנחות עסקה'!$I$70)/365),,((0.1*(ROUND('מודל כלכלי'!$C$59*(1+0.05)^13,-4)))+((('הנחות עסקה'!$D$72*'הנחות עסקה'!$I$70)/365)*חישובים!$D$23*(0.1*(ROUND('מודל כלכלי'!$C$59*(1+0.05)^13,-4)))*0.5)))))+(-(((0.07*(ROUND('מודל כלכלי'!$C$59*(1+0.05)^13,-4)))+(0.13*(ROUND('מודל כלכלי'!$C$59*(1+0.05)^13,-4)))+(-PV(חישובים!$D$21,((('הנחות עסקה'!$D$72*'הנחות עסקה'!$I$70)-30)/365),,((0.7*(ROUND('מודל כלכלי'!$C$59*(1+0.05)^13,-4)))+(((('הנחות עסקה'!$D$72*'הנחות עסקה'!$I$70)-30)/365)*חישובים!$D$23*(0.7*(ROUND('מודל כלכלי'!$C$59*(1+0.05)^13,-4)))*0.5))))+(-PV(חישובים!$D$21,(('הנחות עסקה'!$D$72*'הנחות עסקה'!$I$70)/365),,((0.1*(ROUND('מודל כלכלי'!$C$59*(1+0.05)^13,-4)))+((('הנחות עסקה'!$D$72*'הנחות עסקה'!$I$70)/365)*חישובים!$D$23*(0.1*(ROUND('מודל כלכלי'!$C$59*(1+0.05)^13,-4)))*0.5)))))+(-PV(חישובים!$D$21/12,(('הנחות עסקה'!$D$72*'הנחות עסקה'!$I$70)/365*12),(-FV('מודל כלכלי'!$C$20,(13+(('הנחות עסקה'!$D$71-'הנחות עסקה'!$D$72)*'הנחות עסקה'!$I$70)/365),,'מודל כלכלי'!$C$53)))))*היוון!$C$26)),ROUND('מודל כלכלי'!$C$59*(1+0.05)^13,-4)))*'מודל כלכלי'!$C$14+'מודל כלכלי'!$C$70,-3))+(ROUND(-FV(חישובים!$D$22,13*12,'מודל כלכלי'!$C$55),-3))+(-'מודל כלכלי'!$C$45)+(-MAX(0,(IF('מודל כלכלי'!$C$26="פליפ",((-PV(חישובים!$D$21/12,(('הנחות עסקה'!$D$72*'הנחות עסקה'!$I$70)/365*12),(-FV('מודל כלכלי'!$C$20,(13+(('הנחות עסקה'!$D$71-'הנחות עסקה'!$D$72)*'הנחות עסקה'!$I$70)/365),,'מודל כלכלי'!$C$53))))+((0.07*(ROUND('מודל כלכלי'!$C$59*(1+0.05)^13,-4)))+(0.13*(ROUND('מודל כלכלי'!$C$59*(1+0.05)^13,-4)))+(-PV(חישובים!$D$21,((('הנחות עסקה'!$D$72*'הנחות עסקה'!$I$70)-30)/365),,((0.7*(ROUND('מודל כלכלי'!$C$59*(1+0.05)^13,-4)))+(((('הנחות עסקה'!$D$72*'הנחות עסקה'!$I$70)-30)/365)*חישובים!$D$23*(0.7*(ROUND('מודל כלכלי'!$C$59*(1+0.05)^13,-4)))*0.5))))+(-PV(חישובים!$D$21,(('הנחות עסקה'!$D$72*'הנחות עסקה'!$I$70)/365),,((0.1*(ROUND('מודל כלכלי'!$C$59*(1+0.05)^13,-4)))+((('הנחות עסקה'!$D$72*'הנחות עסקה'!$I$70)/365)*חישובים!$D$23*(0.1*(ROUND('מודל כלכלי'!$C$59*(1+0.05)^13,-4)))*0.5)))))+(-(((0.07*(ROUND('מודל כלכלי'!$C$59*(1+0.05)^13,-4)))+(0.13*(ROUND('מודל כלכלי'!$C$59*(1+0.05)^13,-4)))+(-PV(חישובים!$D$21,((('הנחות עסקה'!$D$72*'הנחות עסקה'!$I$70)-30)/365),,((0.7*(ROUND('מודל כלכלי'!$C$59*(1+0.05)^13,-4)))+(((('הנחות עסקה'!$D$72*'הנחות עסקה'!$I$70)-30)/365)*חישובים!$D$23*(0.7*(ROUND('מודל כלכלי'!$C$59*(1+0.05)^13,-4)))*0.5))))+(-PV(חישובים!$D$21,(('הנחות עסקה'!$D$72*'הנחות עסקה'!$I$70)/365),,((0.1*(ROUND('מודל כלכלי'!$C$59*(1+0.05)^13,-4)))+((('הנחות עסקה'!$D$72*'הנחות עסקה'!$I$70)/365)*חישובים!$D$23*(0.1*(ROUND('מודל כלכלי'!$C$59*(1+0.05)^13,-4)))*0.5)))))+(-PV(חישובים!$D$21/12,(('הנחות עסקה'!$D$72*'הנחות עסקה'!$I$70)/365*12),(-FV('מודל כלכלי'!$C$20,(13+(('הנחות עסקה'!$D$71-'הנחות עסקה'!$D$72)*'הנחות עסקה'!$I$70)/365),,'מודל כלכלי'!$C$53)))))*היוון!$C$26)),ROUND('מודל כלכלי'!$C$59*(1+0.05)^13,-4)))-(חישובים!$D$28*(1+חישובים!$D$29)^13))*0.25),-4)</f>
        <v>3420000</v>
      </c>
    </row>
    <row r="22" spans="2:10" ht="15" customHeight="1">
      <c r="B22" s="74">
        <v>0.06</v>
      </c>
      <c r="C22" s="24">
        <f>ROUND((IF('מודל כלכלי'!$C$26="פליפ",((-PV(חישובים!$D$21/12,(('הנחות עסקה'!$D$72*'הנחות עסקה'!$I$70)/365*12),(-FV('מודל כלכלי'!$C$20,(6+(('הנחות עסקה'!$D$71-'הנחות עסקה'!$D$72)*'הנחות עסקה'!$I$70)/365),,'מודל כלכלי'!$C$53))))+((0.07*(ROUND('מודל כלכלי'!$C$59*(1+0.06)^6,-4)))+(0.13*(ROUND('מודל כלכלי'!$C$59*(1+0.06)^6,-4)))+(-PV(חישובים!$D$21,((('הנחות עסקה'!$D$72*'הנחות עסקה'!$I$70)-30)/365),,((0.7*(ROUND('מודל כלכלי'!$C$59*(1+0.06)^6,-4)))+(((('הנחות עסקה'!$D$72*'הנחות עסקה'!$I$70)-30)/365)*חישובים!$D$23*(0.7*(ROUND('מודל כלכלי'!$C$59*(1+0.06)^6,-4)))*0.5))))+(-PV(חישובים!$D$21,(('הנחות עסקה'!$D$72*'הנחות עסקה'!$I$70)/365),,((0.1*(ROUND('מודל כלכלי'!$C$59*(1+0.06)^6,-4)))+((('הנחות עסקה'!$D$72*'הנחות עסקה'!$I$70)/365)*חישובים!$D$23*(0.1*(ROUND('מודל כלכלי'!$C$59*(1+0.06)^6,-4)))*0.5)))))+(-(((0.07*(ROUND('מודל כלכלי'!$C$59*(1+0.06)^6,-4)))+(0.13*(ROUND('מודל כלכלי'!$C$59*(1+0.06)^6,-4)))+(-PV(חישובים!$D$21,((('הנחות עסקה'!$D$72*'הנחות עסקה'!$I$70)-30)/365),,((0.7*(ROUND('מודל כלכלי'!$C$59*(1+0.06)^6,-4)))+(((('הנחות עסקה'!$D$72*'הנחות עסקה'!$I$70)-30)/365)*חישובים!$D$23*(0.7*(ROUND('מודל כלכלי'!$C$59*(1+0.06)^6,-4)))*0.5))))+(-PV(חישובים!$D$21,(('הנחות עסקה'!$D$72*'הנחות עסקה'!$I$70)/365),,((0.1*(ROUND('מודל כלכלי'!$C$59*(1+0.06)^6,-4)))+((('הנחות עסקה'!$D$72*'הנחות עסקה'!$I$70)/365)*חישובים!$D$23*(0.1*(ROUND('מודל כלכלי'!$C$59*(1+0.06)^6,-4)))*0.5)))))+(-PV(חישובים!$D$21/12,(('הנחות עסקה'!$D$72*'הנחות עסקה'!$I$70)/365*12),(-FV('מודל כלכלי'!$C$20,(6+(('הנחות עסקה'!$D$71-'הנחות עסקה'!$D$72)*'הנחות עסקה'!$I$70)/365),,'מודל כלכלי'!$C$53)))))*היוון!$C$26)),ROUND('מודל כלכלי'!$C$59*(1+0.06)^6,-4)))+(ROUND(FV('מודל כלכלי'!$C$17/12,6*12,'מודל כלכלי'!$C$48,'מודל כלכלי'!$C$46),-4))+(ROUND(-'מודל כלכלי'!$C$66*(IF('מודל כלכלי'!$C$26="פליפ",((-PV(חישובים!$D$21/12,(('הנחות עסקה'!$D$72*'הנחות עסקה'!$I$70)/365*12),(-FV('מודל כלכלי'!$C$20,(6+(('הנחות עסקה'!$D$71-'הנחות עסקה'!$D$72)*'הנחות עסקה'!$I$70)/365),,'מודל כלכלי'!$C$53))))+((0.07*(ROUND('מודל כלכלי'!$C$59*(1+0.06)^6,-4)))+(0.13*(ROUND('מודל כלכלי'!$C$59*(1+0.06)^6,-4)))+(-PV(חישובים!$D$21,((('הנחות עסקה'!$D$72*'הנחות עסקה'!$I$70)-30)/365),,((0.7*(ROUND('מודל כלכלי'!$C$59*(1+0.06)^6,-4)))+(((('הנחות עסקה'!$D$72*'הנחות עסקה'!$I$70)-30)/365)*חישובים!$D$23*(0.7*(ROUND('מודל כלכלי'!$C$59*(1+0.06)^6,-4)))*0.5))))+(-PV(חישובים!$D$21,(('הנחות עסקה'!$D$72*'הנחות עסקה'!$I$70)/365),,((0.1*(ROUND('מודל כלכלי'!$C$59*(1+0.06)^6,-4)))+((('הנחות עסקה'!$D$72*'הנחות עסקה'!$I$70)/365)*חישובים!$D$23*(0.1*(ROUND('מודל כלכלי'!$C$59*(1+0.06)^6,-4)))*0.5)))))+(-(((0.07*(ROUND('מודל כלכלי'!$C$59*(1+0.06)^6,-4)))+(0.13*(ROUND('מודל כלכלי'!$C$59*(1+0.06)^6,-4)))+(-PV(חישובים!$D$21,((('הנחות עסקה'!$D$72*'הנחות עסקה'!$I$70)-30)/365),,((0.7*(ROUND('מודל כלכלי'!$C$59*(1+0.06)^6,-4)))+(((('הנחות עסקה'!$D$72*'הנחות עסקה'!$I$70)-30)/365)*חישובים!$D$23*(0.7*(ROUND('מודל כלכלי'!$C$59*(1+0.06)^6,-4)))*0.5))))+(-PV(חישובים!$D$21,(('הנחות עסקה'!$D$72*'הנחות עסקה'!$I$70)/365),,((0.1*(ROUND('מודל כלכלי'!$C$59*(1+0.06)^6,-4)))+((('הנחות עסקה'!$D$72*'הנחות עסקה'!$I$70)/365)*חישובים!$D$23*(0.1*(ROUND('מודל כלכלי'!$C$59*(1+0.06)^6,-4)))*0.5)))))+(-PV(חישובים!$D$21/12,(('הנחות עסקה'!$D$72*'הנחות עסקה'!$I$70)/365*12),(-FV('מודל כלכלי'!$C$20,(6+(('הנחות עסקה'!$D$71-'הנחות עסקה'!$D$72)*'הנחות עסקה'!$I$70)/365),,'מודל כלכלי'!$C$53)))))*היוון!$C$26)),ROUND('מודל כלכלי'!$C$59*(1+0.06)^6,-4)))*'מודל כלכלי'!$C$14-'מודל כלכלי'!$C$68*(IF('מודל כלכלי'!$C$26="פליפ",((-PV(חישובים!$D$21/12,(('הנחות עסקה'!$D$72*'הנחות עסקה'!$I$70)/365*12),(-FV('מודל כלכלי'!$C$20,(6+(('הנחות עסקה'!$D$71-'הנחות עסקה'!$D$72)*'הנחות עסקה'!$I$70)/365),,'מודל כלכלי'!$C$53))))+((0.07*(ROUND('מודל כלכלי'!$C$59*(1+0.06)^6,-4)))+(0.13*(ROUND('מודל כלכלי'!$C$59*(1+0.06)^6,-4)))+(-PV(חישובים!$D$21,((('הנחות עסקה'!$D$72*'הנחות עסקה'!$I$70)-30)/365),,((0.7*(ROUND('מודל כלכלי'!$C$59*(1+0.06)^6,-4)))+(((('הנחות עסקה'!$D$72*'הנחות עסקה'!$I$70)-30)/365)*חישובים!$D$23*(0.7*(ROUND('מודל כלכלי'!$C$59*(1+0.06)^6,-4)))*0.5))))+(-PV(חישובים!$D$21,(('הנחות עסקה'!$D$72*'הנחות עסקה'!$I$70)/365),,((0.1*(ROUND('מודל כלכלי'!$C$59*(1+0.06)^6,-4)))+((('הנחות עסקה'!$D$72*'הנחות עסקה'!$I$70)/365)*חישובים!$D$23*(0.1*(ROUND('מודל כלכלי'!$C$59*(1+0.06)^6,-4)))*0.5)))))+(-(((0.07*(ROUND('מודל כלכלי'!$C$59*(1+0.06)^6,-4)))+(0.13*(ROUND('מודל כלכלי'!$C$59*(1+0.06)^6,-4)))+(-PV(חישובים!$D$21,((('הנחות עסקה'!$D$72*'הנחות עסקה'!$I$70)-30)/365),,((0.7*(ROUND('מודל כלכלי'!$C$59*(1+0.06)^6,-4)))+(((('הנחות עסקה'!$D$72*'הנחות עסקה'!$I$70)-30)/365)*חישובים!$D$23*(0.7*(ROUND('מודל כלכלי'!$C$59*(1+0.06)^6,-4)))*0.5))))+(-PV(חישובים!$D$21,(('הנחות עסקה'!$D$72*'הנחות עסקה'!$I$70)/365),,((0.1*(ROUND('מודל כלכלי'!$C$59*(1+0.06)^6,-4)))+((('הנחות עסקה'!$D$72*'הנחות עסקה'!$I$70)/365)*חישובים!$D$23*(0.1*(ROUND('מודל כלכלי'!$C$59*(1+0.06)^6,-4)))*0.5)))))+(-PV(חישובים!$D$21/12,(('הנחות עסקה'!$D$72*'הנחות עסקה'!$I$70)/365*12),(-FV('מודל כלכלי'!$C$20,(6+(('הנחות עסקה'!$D$71-'הנחות עסקה'!$D$72)*'הנחות עסקה'!$I$70)/365),,'מודל כלכלי'!$C$53)))))*היוון!$C$26)),ROUND('מודל כלכלי'!$C$59*(1+0.06)^6,-4)))*'מודל כלכלי'!$C$14+'מודל כלכלי'!$C$70,-3))+(ROUND(-FV(חישובים!$D$22,6*12,'מודל כלכלי'!$C$55),-3))+(-'מודל כלכלי'!$C$45)+(-MAX(0,(IF('מודל כלכלי'!$C$26="פליפ",((-PV(חישובים!$D$21/12,(('הנחות עסקה'!$D$72*'הנחות עסקה'!$I$70)/365*12),(-FV('מודל כלכלי'!$C$20,(6+(('הנחות עסקה'!$D$71-'הנחות עסקה'!$D$72)*'הנחות עסקה'!$I$70)/365),,'מודל כלכלי'!$C$53))))+((0.07*(ROUND('מודל כלכלי'!$C$59*(1+0.06)^6,-4)))+(0.13*(ROUND('מודל כלכלי'!$C$59*(1+0.06)^6,-4)))+(-PV(חישובים!$D$21,((('הנחות עסקה'!$D$72*'הנחות עסקה'!$I$70)-30)/365),,((0.7*(ROUND('מודל כלכלי'!$C$59*(1+0.06)^6,-4)))+(((('הנחות עסקה'!$D$72*'הנחות עסקה'!$I$70)-30)/365)*חישובים!$D$23*(0.7*(ROUND('מודל כלכלי'!$C$59*(1+0.06)^6,-4)))*0.5))))+(-PV(חישובים!$D$21,(('הנחות עסקה'!$D$72*'הנחות עסקה'!$I$70)/365),,((0.1*(ROUND('מודל כלכלי'!$C$59*(1+0.06)^6,-4)))+((('הנחות עסקה'!$D$72*'הנחות עסקה'!$I$70)/365)*חישובים!$D$23*(0.1*(ROUND('מודל כלכלי'!$C$59*(1+0.06)^6,-4)))*0.5)))))+(-(((0.07*(ROUND('מודל כלכלי'!$C$59*(1+0.06)^6,-4)))+(0.13*(ROUND('מודל כלכלי'!$C$59*(1+0.06)^6,-4)))+(-PV(חישובים!$D$21,((('הנחות עסקה'!$D$72*'הנחות עסקה'!$I$70)-30)/365),,((0.7*(ROUND('מודל כלכלי'!$C$59*(1+0.06)^6,-4)))+(((('הנחות עסקה'!$D$72*'הנחות עסקה'!$I$70)-30)/365)*חישובים!$D$23*(0.7*(ROUND('מודל כלכלי'!$C$59*(1+0.06)^6,-4)))*0.5))))+(-PV(חישובים!$D$21,(('הנחות עסקה'!$D$72*'הנחות עסקה'!$I$70)/365),,((0.1*(ROUND('מודל כלכלי'!$C$59*(1+0.06)^6,-4)))+((('הנחות עסקה'!$D$72*'הנחות עסקה'!$I$70)/365)*חישובים!$D$23*(0.1*(ROUND('מודל כלכלי'!$C$59*(1+0.06)^6,-4)))*0.5)))))+(-PV(חישובים!$D$21/12,(('הנחות עסקה'!$D$72*'הנחות עסקה'!$I$70)/365*12),(-FV('מודל כלכלי'!$C$20,(6+(('הנחות עסקה'!$D$71-'הנחות עסקה'!$D$72)*'הנחות עסקה'!$I$70)/365),,'מודל כלכלי'!$C$53)))))*היוון!$C$26)),ROUND('מודל כלכלי'!$C$59*(1+0.06)^6,-4)))-(חישובים!$D$28*(1+חישובים!$D$29)^6))*0.25),-4)</f>
        <v>2130000</v>
      </c>
      <c r="D22" s="24">
        <f>ROUND((IF('מודל כלכלי'!$C$26="פליפ",((-PV(חישובים!$D$21/12,(('הנחות עסקה'!$D$72*'הנחות עסקה'!$I$70)/365*12),(-FV('מודל כלכלי'!$C$20,(7+(('הנחות עסקה'!$D$71-'הנחות עסקה'!$D$72)*'הנחות עסקה'!$I$70)/365),,'מודל כלכלי'!$C$53))))+((0.07*(ROUND('מודל כלכלי'!$C$59*(1+0.06)^7,-4)))+(0.13*(ROUND('מודל כלכלי'!$C$59*(1+0.06)^7,-4)))+(-PV(חישובים!$D$21,((('הנחות עסקה'!$D$72*'הנחות עסקה'!$I$70)-30)/365),,((0.7*(ROUND('מודל כלכלי'!$C$59*(1+0.06)^7,-4)))+(((('הנחות עסקה'!$D$72*'הנחות עסקה'!$I$70)-30)/365)*חישובים!$D$23*(0.7*(ROUND('מודל כלכלי'!$C$59*(1+0.06)^7,-4)))*0.5))))+(-PV(חישובים!$D$21,(('הנחות עסקה'!$D$72*'הנחות עסקה'!$I$70)/365),,((0.1*(ROUND('מודל כלכלי'!$C$59*(1+0.06)^7,-4)))+((('הנחות עסקה'!$D$72*'הנחות עסקה'!$I$70)/365)*חישובים!$D$23*(0.1*(ROUND('מודל כלכלי'!$C$59*(1+0.06)^7,-4)))*0.5)))))+(-(((0.07*(ROUND('מודל כלכלי'!$C$59*(1+0.06)^7,-4)))+(0.13*(ROUND('מודל כלכלי'!$C$59*(1+0.06)^7,-4)))+(-PV(חישובים!$D$21,((('הנחות עסקה'!$D$72*'הנחות עסקה'!$I$70)-30)/365),,((0.7*(ROUND('מודל כלכלי'!$C$59*(1+0.06)^7,-4)))+(((('הנחות עסקה'!$D$72*'הנחות עסקה'!$I$70)-30)/365)*חישובים!$D$23*(0.7*(ROUND('מודל כלכלי'!$C$59*(1+0.06)^7,-4)))*0.5))))+(-PV(חישובים!$D$21,(('הנחות עסקה'!$D$72*'הנחות עסקה'!$I$70)/365),,((0.1*(ROUND('מודל כלכלי'!$C$59*(1+0.06)^7,-4)))+((('הנחות עסקה'!$D$72*'הנחות עסקה'!$I$70)/365)*חישובים!$D$23*(0.1*(ROUND('מודל כלכלי'!$C$59*(1+0.06)^7,-4)))*0.5)))))+(-PV(חישובים!$D$21/12,(('הנחות עסקה'!$D$72*'הנחות עסקה'!$I$70)/365*12),(-FV('מודל כלכלי'!$C$20,(7+(('הנחות עסקה'!$D$71-'הנחות עסקה'!$D$72)*'הנחות עסקה'!$I$70)/365),,'מודל כלכלי'!$C$53)))))*היוון!$C$26)),ROUND('מודל כלכלי'!$C$59*(1+0.06)^7,-4)))+(ROUND(FV('מודל כלכלי'!$C$17/12,7*12,'מודל כלכלי'!$C$48,'מודל כלכלי'!$C$46),-4))+(ROUND(-'מודל כלכלי'!$C$66*(IF('מודל כלכלי'!$C$26="פליפ",((-PV(חישובים!$D$21/12,(('הנחות עסקה'!$D$72*'הנחות עסקה'!$I$70)/365*12),(-FV('מודל כלכלי'!$C$20,(7+(('הנחות עסקה'!$D$71-'הנחות עסקה'!$D$72)*'הנחות עסקה'!$I$70)/365),,'מודל כלכלי'!$C$53))))+((0.07*(ROUND('מודל כלכלי'!$C$59*(1+0.06)^7,-4)))+(0.13*(ROUND('מודל כלכלי'!$C$59*(1+0.06)^7,-4)))+(-PV(חישובים!$D$21,((('הנחות עסקה'!$D$72*'הנחות עסקה'!$I$70)-30)/365),,((0.7*(ROUND('מודל כלכלי'!$C$59*(1+0.06)^7,-4)))+(((('הנחות עסקה'!$D$72*'הנחות עסקה'!$I$70)-30)/365)*חישובים!$D$23*(0.7*(ROUND('מודל כלכלי'!$C$59*(1+0.06)^7,-4)))*0.5))))+(-PV(חישובים!$D$21,(('הנחות עסקה'!$D$72*'הנחות עסקה'!$I$70)/365),,((0.1*(ROUND('מודל כלכלי'!$C$59*(1+0.06)^7,-4)))+((('הנחות עסקה'!$D$72*'הנחות עסקה'!$I$70)/365)*חישובים!$D$23*(0.1*(ROUND('מודל כלכלי'!$C$59*(1+0.06)^7,-4)))*0.5)))))+(-(((0.07*(ROUND('מודל כלכלי'!$C$59*(1+0.06)^7,-4)))+(0.13*(ROUND('מודל כלכלי'!$C$59*(1+0.06)^7,-4)))+(-PV(חישובים!$D$21,((('הנחות עסקה'!$D$72*'הנחות עסקה'!$I$70)-30)/365),,((0.7*(ROUND('מודל כלכלי'!$C$59*(1+0.06)^7,-4)))+(((('הנחות עסקה'!$D$72*'הנחות עסקה'!$I$70)-30)/365)*חישובים!$D$23*(0.7*(ROUND('מודל כלכלי'!$C$59*(1+0.06)^7,-4)))*0.5))))+(-PV(חישובים!$D$21,(('הנחות עסקה'!$D$72*'הנחות עסקה'!$I$70)/365),,((0.1*(ROUND('מודל כלכלי'!$C$59*(1+0.06)^7,-4)))+((('הנחות עסקה'!$D$72*'הנחות עסקה'!$I$70)/365)*חישובים!$D$23*(0.1*(ROUND('מודל כלכלי'!$C$59*(1+0.06)^7,-4)))*0.5)))))+(-PV(חישובים!$D$21/12,(('הנחות עסקה'!$D$72*'הנחות עסקה'!$I$70)/365*12),(-FV('מודל כלכלי'!$C$20,(7+(('הנחות עסקה'!$D$71-'הנחות עסקה'!$D$72)*'הנחות עסקה'!$I$70)/365),,'מודל כלכלי'!$C$53)))))*היוון!$C$26)),ROUND('מודל כלכלי'!$C$59*(1+0.06)^7,-4)))*'מודל כלכלי'!$C$14-'מודל כלכלי'!$C$68*(IF('מודל כלכלי'!$C$26="פליפ",((-PV(חישובים!$D$21/12,(('הנחות עסקה'!$D$72*'הנחות עסקה'!$I$70)/365*12),(-FV('מודל כלכלי'!$C$20,(7+(('הנחות עסקה'!$D$71-'הנחות עסקה'!$D$72)*'הנחות עסקה'!$I$70)/365),,'מודל כלכלי'!$C$53))))+((0.07*(ROUND('מודל כלכלי'!$C$59*(1+0.06)^7,-4)))+(0.13*(ROUND('מודל כלכלי'!$C$59*(1+0.06)^7,-4)))+(-PV(חישובים!$D$21,((('הנחות עסקה'!$D$72*'הנחות עסקה'!$I$70)-30)/365),,((0.7*(ROUND('מודל כלכלי'!$C$59*(1+0.06)^7,-4)))+(((('הנחות עסקה'!$D$72*'הנחות עסקה'!$I$70)-30)/365)*חישובים!$D$23*(0.7*(ROUND('מודל כלכלי'!$C$59*(1+0.06)^7,-4)))*0.5))))+(-PV(חישובים!$D$21,(('הנחות עסקה'!$D$72*'הנחות עסקה'!$I$70)/365),,((0.1*(ROUND('מודל כלכלי'!$C$59*(1+0.06)^7,-4)))+((('הנחות עסקה'!$D$72*'הנחות עסקה'!$I$70)/365)*חישובים!$D$23*(0.1*(ROUND('מודל כלכלי'!$C$59*(1+0.06)^7,-4)))*0.5)))))+(-(((0.07*(ROUND('מודל כלכלי'!$C$59*(1+0.06)^7,-4)))+(0.13*(ROUND('מודל כלכלי'!$C$59*(1+0.06)^7,-4)))+(-PV(חישובים!$D$21,((('הנחות עסקה'!$D$72*'הנחות עסקה'!$I$70)-30)/365),,((0.7*(ROUND('מודל כלכלי'!$C$59*(1+0.06)^7,-4)))+(((('הנחות עסקה'!$D$72*'הנחות עסקה'!$I$70)-30)/365)*חישובים!$D$23*(0.7*(ROUND('מודל כלכלי'!$C$59*(1+0.06)^7,-4)))*0.5))))+(-PV(חישובים!$D$21,(('הנחות עסקה'!$D$72*'הנחות עסקה'!$I$70)/365),,((0.1*(ROUND('מודל כלכלי'!$C$59*(1+0.06)^7,-4)))+((('הנחות עסקה'!$D$72*'הנחות עסקה'!$I$70)/365)*חישובים!$D$23*(0.1*(ROUND('מודל כלכלי'!$C$59*(1+0.06)^7,-4)))*0.5)))))+(-PV(חישובים!$D$21/12,(('הנחות עסקה'!$D$72*'הנחות עסקה'!$I$70)/365*12),(-FV('מודל כלכלי'!$C$20,(7+(('הנחות עסקה'!$D$71-'הנחות עסקה'!$D$72)*'הנחות עסקה'!$I$70)/365),,'מודל כלכלי'!$C$53)))))*היוון!$C$26)),ROUND('מודל כלכלי'!$C$59*(1+0.06)^7,-4)))*'מודל כלכלי'!$C$14+'מודל כלכלי'!$C$70,-3))+(ROUND(-FV(חישובים!$D$22,7*12,'מודל כלכלי'!$C$55),-3))+(-'מודל כלכלי'!$C$45)+(-MAX(0,(IF('מודל כלכלי'!$C$26="פליפ",((-PV(חישובים!$D$21/12,(('הנחות עסקה'!$D$72*'הנחות עסקה'!$I$70)/365*12),(-FV('מודל כלכלי'!$C$20,(7+(('הנחות עסקה'!$D$71-'הנחות עסקה'!$D$72)*'הנחות עסקה'!$I$70)/365),,'מודל כלכלי'!$C$53))))+((0.07*(ROUND('מודל כלכלי'!$C$59*(1+0.06)^7,-4)))+(0.13*(ROUND('מודל כלכלי'!$C$59*(1+0.06)^7,-4)))+(-PV(חישובים!$D$21,((('הנחות עסקה'!$D$72*'הנחות עסקה'!$I$70)-30)/365),,((0.7*(ROUND('מודל כלכלי'!$C$59*(1+0.06)^7,-4)))+(((('הנחות עסקה'!$D$72*'הנחות עסקה'!$I$70)-30)/365)*חישובים!$D$23*(0.7*(ROUND('מודל כלכלי'!$C$59*(1+0.06)^7,-4)))*0.5))))+(-PV(חישובים!$D$21,(('הנחות עסקה'!$D$72*'הנחות עסקה'!$I$70)/365),,((0.1*(ROUND('מודל כלכלי'!$C$59*(1+0.06)^7,-4)))+((('הנחות עסקה'!$D$72*'הנחות עסקה'!$I$70)/365)*חישובים!$D$23*(0.1*(ROUND('מודל כלכלי'!$C$59*(1+0.06)^7,-4)))*0.5)))))+(-(((0.07*(ROUND('מודל כלכלי'!$C$59*(1+0.06)^7,-4)))+(0.13*(ROUND('מודל כלכלי'!$C$59*(1+0.06)^7,-4)))+(-PV(חישובים!$D$21,((('הנחות עסקה'!$D$72*'הנחות עסקה'!$I$70)-30)/365),,((0.7*(ROUND('מודל כלכלי'!$C$59*(1+0.06)^7,-4)))+(((('הנחות עסקה'!$D$72*'הנחות עסקה'!$I$70)-30)/365)*חישובים!$D$23*(0.7*(ROUND('מודל כלכלי'!$C$59*(1+0.06)^7,-4)))*0.5))))+(-PV(חישובים!$D$21,(('הנחות עסקה'!$D$72*'הנחות עסקה'!$I$70)/365),,((0.1*(ROUND('מודל כלכלי'!$C$59*(1+0.06)^7,-4)))+((('הנחות עסקה'!$D$72*'הנחות עסקה'!$I$70)/365)*חישובים!$D$23*(0.1*(ROUND('מודל כלכלי'!$C$59*(1+0.06)^7,-4)))*0.5)))))+(-PV(חישובים!$D$21/12,(('הנחות עסקה'!$D$72*'הנחות עסקה'!$I$70)/365*12),(-FV('מודל כלכלי'!$C$20,(7+(('הנחות עסקה'!$D$71-'הנחות עסקה'!$D$72)*'הנחות עסקה'!$I$70)/365),,'מודל כלכלי'!$C$53)))))*היוון!$C$26)),ROUND('מודל כלכלי'!$C$59*(1+0.06)^7,-4)))-(חישובים!$D$28*(1+חישובים!$D$29)^7))*0.25),-4)</f>
        <v>2380000</v>
      </c>
      <c r="E22" s="24">
        <f>ROUND((IF('מודל כלכלי'!$C$26="פליפ",((-PV(חישובים!$D$21/12,(('הנחות עסקה'!$D$72*'הנחות עסקה'!$I$70)/365*12),(-FV('מודל כלכלי'!$C$20,(8+(('הנחות עסקה'!$D$71-'הנחות עסקה'!$D$72)*'הנחות עסקה'!$I$70)/365),,'מודל כלכלי'!$C$53))))+((0.07*(ROUND('מודל כלכלי'!$C$59*(1+0.06)^8,-4)))+(0.13*(ROUND('מודל כלכלי'!$C$59*(1+0.06)^8,-4)))+(-PV(חישובים!$D$21,((('הנחות עסקה'!$D$72*'הנחות עסקה'!$I$70)-30)/365),,((0.7*(ROUND('מודל כלכלי'!$C$59*(1+0.06)^8,-4)))+(((('הנחות עסקה'!$D$72*'הנחות עסקה'!$I$70)-30)/365)*חישובים!$D$23*(0.7*(ROUND('מודל כלכלי'!$C$59*(1+0.06)^8,-4)))*0.5))))+(-PV(חישובים!$D$21,(('הנחות עסקה'!$D$72*'הנחות עסקה'!$I$70)/365),,((0.1*(ROUND('מודל כלכלי'!$C$59*(1+0.06)^8,-4)))+((('הנחות עסקה'!$D$72*'הנחות עסקה'!$I$70)/365)*חישובים!$D$23*(0.1*(ROUND('מודל כלכלי'!$C$59*(1+0.06)^8,-4)))*0.5)))))+(-(((0.07*(ROUND('מודל כלכלי'!$C$59*(1+0.06)^8,-4)))+(0.13*(ROUND('מודל כלכלי'!$C$59*(1+0.06)^8,-4)))+(-PV(חישובים!$D$21,((('הנחות עסקה'!$D$72*'הנחות עסקה'!$I$70)-30)/365),,((0.7*(ROUND('מודל כלכלי'!$C$59*(1+0.06)^8,-4)))+(((('הנחות עסקה'!$D$72*'הנחות עסקה'!$I$70)-30)/365)*חישובים!$D$23*(0.7*(ROUND('מודל כלכלי'!$C$59*(1+0.06)^8,-4)))*0.5))))+(-PV(חישובים!$D$21,(('הנחות עסקה'!$D$72*'הנחות עסקה'!$I$70)/365),,((0.1*(ROUND('מודל כלכלי'!$C$59*(1+0.06)^8,-4)))+((('הנחות עסקה'!$D$72*'הנחות עסקה'!$I$70)/365)*חישובים!$D$23*(0.1*(ROUND('מודל כלכלי'!$C$59*(1+0.06)^8,-4)))*0.5)))))+(-PV(חישובים!$D$21/12,(('הנחות עסקה'!$D$72*'הנחות עסקה'!$I$70)/365*12),(-FV('מודל כלכלי'!$C$20,(8+(('הנחות עסקה'!$D$71-'הנחות עסקה'!$D$72)*'הנחות עסקה'!$I$70)/365),,'מודל כלכלי'!$C$53)))))*היוון!$C$26)),ROUND('מודל כלכלי'!$C$59*(1+0.06)^8,-4)))+(ROUND(FV('מודל כלכלי'!$C$17/12,8*12,'מודל כלכלי'!$C$48,'מודל כלכלי'!$C$46),-4))+(ROUND(-'מודל כלכלי'!$C$66*(IF('מודל כלכלי'!$C$26="פליפ",((-PV(חישובים!$D$21/12,(('הנחות עסקה'!$D$72*'הנחות עסקה'!$I$70)/365*12),(-FV('מודל כלכלי'!$C$20,(8+(('הנחות עסקה'!$D$71-'הנחות עסקה'!$D$72)*'הנחות עסקה'!$I$70)/365),,'מודל כלכלי'!$C$53))))+((0.07*(ROUND('מודל כלכלי'!$C$59*(1+0.06)^8,-4)))+(0.13*(ROUND('מודל כלכלי'!$C$59*(1+0.06)^8,-4)))+(-PV(חישובים!$D$21,((('הנחות עסקה'!$D$72*'הנחות עסקה'!$I$70)-30)/365),,((0.7*(ROUND('מודל כלכלי'!$C$59*(1+0.06)^8,-4)))+(((('הנחות עסקה'!$D$72*'הנחות עסקה'!$I$70)-30)/365)*חישובים!$D$23*(0.7*(ROUND('מודל כלכלי'!$C$59*(1+0.06)^8,-4)))*0.5))))+(-PV(חישובים!$D$21,(('הנחות עסקה'!$D$72*'הנחות עסקה'!$I$70)/365),,((0.1*(ROUND('מודל כלכלי'!$C$59*(1+0.06)^8,-4)))+((('הנחות עסקה'!$D$72*'הנחות עסקה'!$I$70)/365)*חישובים!$D$23*(0.1*(ROUND('מודל כלכלי'!$C$59*(1+0.06)^8,-4)))*0.5)))))+(-(((0.07*(ROUND('מודל כלכלי'!$C$59*(1+0.06)^8,-4)))+(0.13*(ROUND('מודל כלכלי'!$C$59*(1+0.06)^8,-4)))+(-PV(חישובים!$D$21,((('הנחות עסקה'!$D$72*'הנחות עסקה'!$I$70)-30)/365),,((0.7*(ROUND('מודל כלכלי'!$C$59*(1+0.06)^8,-4)))+(((('הנחות עסקה'!$D$72*'הנחות עסקה'!$I$70)-30)/365)*חישובים!$D$23*(0.7*(ROUND('מודל כלכלי'!$C$59*(1+0.06)^8,-4)))*0.5))))+(-PV(חישובים!$D$21,(('הנחות עסקה'!$D$72*'הנחות עסקה'!$I$70)/365),,((0.1*(ROUND('מודל כלכלי'!$C$59*(1+0.06)^8,-4)))+((('הנחות עסקה'!$D$72*'הנחות עסקה'!$I$70)/365)*חישובים!$D$23*(0.1*(ROUND('מודל כלכלי'!$C$59*(1+0.06)^8,-4)))*0.5)))))+(-PV(חישובים!$D$21/12,(('הנחות עסקה'!$D$72*'הנחות עסקה'!$I$70)/365*12),(-FV('מודל כלכלי'!$C$20,(8+(('הנחות עסקה'!$D$71-'הנחות עסקה'!$D$72)*'הנחות עסקה'!$I$70)/365),,'מודל כלכלי'!$C$53)))))*היוון!$C$26)),ROUND('מודל כלכלי'!$C$59*(1+0.06)^8,-4)))*'מודל כלכלי'!$C$14-'מודל כלכלי'!$C$68*(IF('מודל כלכלי'!$C$26="פליפ",((-PV(חישובים!$D$21/12,(('הנחות עסקה'!$D$72*'הנחות עסקה'!$I$70)/365*12),(-FV('מודל כלכלי'!$C$20,(8+(('הנחות עסקה'!$D$71-'הנחות עסקה'!$D$72)*'הנחות עסקה'!$I$70)/365),,'מודל כלכלי'!$C$53))))+((0.07*(ROUND('מודל כלכלי'!$C$59*(1+0.06)^8,-4)))+(0.13*(ROUND('מודל כלכלי'!$C$59*(1+0.06)^8,-4)))+(-PV(חישובים!$D$21,((('הנחות עסקה'!$D$72*'הנחות עסקה'!$I$70)-30)/365),,((0.7*(ROUND('מודל כלכלי'!$C$59*(1+0.06)^8,-4)))+(((('הנחות עסקה'!$D$72*'הנחות עסקה'!$I$70)-30)/365)*חישובים!$D$23*(0.7*(ROUND('מודל כלכלי'!$C$59*(1+0.06)^8,-4)))*0.5))))+(-PV(חישובים!$D$21,(('הנחות עסקה'!$D$72*'הנחות עסקה'!$I$70)/365),,((0.1*(ROUND('מודל כלכלי'!$C$59*(1+0.06)^8,-4)))+((('הנחות עסקה'!$D$72*'הנחות עסקה'!$I$70)/365)*חישובים!$D$23*(0.1*(ROUND('מודל כלכלי'!$C$59*(1+0.06)^8,-4)))*0.5)))))+(-(((0.07*(ROUND('מודל כלכלי'!$C$59*(1+0.06)^8,-4)))+(0.13*(ROUND('מודל כלכלי'!$C$59*(1+0.06)^8,-4)))+(-PV(חישובים!$D$21,((('הנחות עסקה'!$D$72*'הנחות עסקה'!$I$70)-30)/365),,((0.7*(ROUND('מודל כלכלי'!$C$59*(1+0.06)^8,-4)))+(((('הנחות עסקה'!$D$72*'הנחות עסקה'!$I$70)-30)/365)*חישובים!$D$23*(0.7*(ROUND('מודל כלכלי'!$C$59*(1+0.06)^8,-4)))*0.5))))+(-PV(חישובים!$D$21,(('הנחות עסקה'!$D$72*'הנחות עסקה'!$I$70)/365),,((0.1*(ROUND('מודל כלכלי'!$C$59*(1+0.06)^8,-4)))+((('הנחות עסקה'!$D$72*'הנחות עסקה'!$I$70)/365)*חישובים!$D$23*(0.1*(ROUND('מודל כלכלי'!$C$59*(1+0.06)^8,-4)))*0.5)))))+(-PV(חישובים!$D$21/12,(('הנחות עסקה'!$D$72*'הנחות עסקה'!$I$70)/365*12),(-FV('מודל כלכלי'!$C$20,(8+(('הנחות עסקה'!$D$71-'הנחות עסקה'!$D$72)*'הנחות עסקה'!$I$70)/365),,'מודל כלכלי'!$C$53)))))*היוון!$C$26)),ROUND('מודל כלכלי'!$C$59*(1+0.06)^8,-4)))*'מודל כלכלי'!$C$14+'מודל כלכלי'!$C$70,-3))+(ROUND(-FV(חישובים!$D$22,8*12,'מודל כלכלי'!$C$55),-3))+(-'מודל כלכלי'!$C$45)+(-MAX(0,(IF('מודל כלכלי'!$C$26="פליפ",((-PV(חישובים!$D$21/12,(('הנחות עסקה'!$D$72*'הנחות עסקה'!$I$70)/365*12),(-FV('מודל כלכלי'!$C$20,(8+(('הנחות עסקה'!$D$71-'הנחות עסקה'!$D$72)*'הנחות עסקה'!$I$70)/365),,'מודל כלכלי'!$C$53))))+((0.07*(ROUND('מודל כלכלי'!$C$59*(1+0.06)^8,-4)))+(0.13*(ROUND('מודל כלכלי'!$C$59*(1+0.06)^8,-4)))+(-PV(חישובים!$D$21,((('הנחות עסקה'!$D$72*'הנחות עסקה'!$I$70)-30)/365),,((0.7*(ROUND('מודל כלכלי'!$C$59*(1+0.06)^8,-4)))+(((('הנחות עסקה'!$D$72*'הנחות עסקה'!$I$70)-30)/365)*חישובים!$D$23*(0.7*(ROUND('מודל כלכלי'!$C$59*(1+0.06)^8,-4)))*0.5))))+(-PV(חישובים!$D$21,(('הנחות עסקה'!$D$72*'הנחות עסקה'!$I$70)/365),,((0.1*(ROUND('מודל כלכלי'!$C$59*(1+0.06)^8,-4)))+((('הנחות עסקה'!$D$72*'הנחות עסקה'!$I$70)/365)*חישובים!$D$23*(0.1*(ROUND('מודל כלכלי'!$C$59*(1+0.06)^8,-4)))*0.5)))))+(-(((0.07*(ROUND('מודל כלכלי'!$C$59*(1+0.06)^8,-4)))+(0.13*(ROUND('מודל כלכלי'!$C$59*(1+0.06)^8,-4)))+(-PV(חישובים!$D$21,((('הנחות עסקה'!$D$72*'הנחות עסקה'!$I$70)-30)/365),,((0.7*(ROUND('מודל כלכלי'!$C$59*(1+0.06)^8,-4)))+(((('הנחות עסקה'!$D$72*'הנחות עסקה'!$I$70)-30)/365)*חישובים!$D$23*(0.7*(ROUND('מודל כלכלי'!$C$59*(1+0.06)^8,-4)))*0.5))))+(-PV(חישובים!$D$21,(('הנחות עסקה'!$D$72*'הנחות עסקה'!$I$70)/365),,((0.1*(ROUND('מודל כלכלי'!$C$59*(1+0.06)^8,-4)))+((('הנחות עסקה'!$D$72*'הנחות עסקה'!$I$70)/365)*חישובים!$D$23*(0.1*(ROUND('מודל כלכלי'!$C$59*(1+0.06)^8,-4)))*0.5)))))+(-PV(חישובים!$D$21/12,(('הנחות עסקה'!$D$72*'הנחות עסקה'!$I$70)/365*12),(-FV('מודל כלכלי'!$C$20,(8+(('הנחות עסקה'!$D$71-'הנחות עסקה'!$D$72)*'הנחות עסקה'!$I$70)/365),,'מודל כלכלי'!$C$53)))))*היוון!$C$26)),ROUND('מודל כלכלי'!$C$59*(1+0.06)^8,-4)))-(חישובים!$D$28*(1+חישובים!$D$29)^8))*0.25),-4)</f>
        <v>2640000</v>
      </c>
      <c r="F22" s="24">
        <f>ROUND((IF('מודל כלכלי'!$C$26="פליפ",((-PV(חישובים!$D$21/12,(('הנחות עסקה'!$D$72*'הנחות עסקה'!$I$70)/365*12),(-FV('מודל כלכלי'!$C$20,(9+(('הנחות עסקה'!$D$71-'הנחות עסקה'!$D$72)*'הנחות עסקה'!$I$70)/365),,'מודל כלכלי'!$C$53))))+((0.07*(ROUND('מודל כלכלי'!$C$59*(1+0.06)^9,-4)))+(0.13*(ROUND('מודל כלכלי'!$C$59*(1+0.06)^9,-4)))+(-PV(חישובים!$D$21,((('הנחות עסקה'!$D$72*'הנחות עסקה'!$I$70)-30)/365),,((0.7*(ROUND('מודל כלכלי'!$C$59*(1+0.06)^9,-4)))+(((('הנחות עסקה'!$D$72*'הנחות עסקה'!$I$70)-30)/365)*חישובים!$D$23*(0.7*(ROUND('מודל כלכלי'!$C$59*(1+0.06)^9,-4)))*0.5))))+(-PV(חישובים!$D$21,(('הנחות עסקה'!$D$72*'הנחות עסקה'!$I$70)/365),,((0.1*(ROUND('מודל כלכלי'!$C$59*(1+0.06)^9,-4)))+((('הנחות עסקה'!$D$72*'הנחות עסקה'!$I$70)/365)*חישובים!$D$23*(0.1*(ROUND('מודל כלכלי'!$C$59*(1+0.06)^9,-4)))*0.5)))))+(-(((0.07*(ROUND('מודל כלכלי'!$C$59*(1+0.06)^9,-4)))+(0.13*(ROUND('מודל כלכלי'!$C$59*(1+0.06)^9,-4)))+(-PV(חישובים!$D$21,((('הנחות עסקה'!$D$72*'הנחות עסקה'!$I$70)-30)/365),,((0.7*(ROUND('מודל כלכלי'!$C$59*(1+0.06)^9,-4)))+(((('הנחות עסקה'!$D$72*'הנחות עסקה'!$I$70)-30)/365)*חישובים!$D$23*(0.7*(ROUND('מודל כלכלי'!$C$59*(1+0.06)^9,-4)))*0.5))))+(-PV(חישובים!$D$21,(('הנחות עסקה'!$D$72*'הנחות עסקה'!$I$70)/365),,((0.1*(ROUND('מודל כלכלי'!$C$59*(1+0.06)^9,-4)))+((('הנחות עסקה'!$D$72*'הנחות עסקה'!$I$70)/365)*חישובים!$D$23*(0.1*(ROUND('מודל כלכלי'!$C$59*(1+0.06)^9,-4)))*0.5)))))+(-PV(חישובים!$D$21/12,(('הנחות עסקה'!$D$72*'הנחות עסקה'!$I$70)/365*12),(-FV('מודל כלכלי'!$C$20,(9+(('הנחות עסקה'!$D$71-'הנחות עסקה'!$D$72)*'הנחות עסקה'!$I$70)/365),,'מודל כלכלי'!$C$53)))))*היוון!$C$26)),ROUND('מודל כלכלי'!$C$59*(1+0.06)^9,-4)))+(ROUND(FV('מודל כלכלי'!$C$17/12,9*12,'מודל כלכלי'!$C$48,'מודל כלכלי'!$C$46),-4))+(ROUND(-'מודל כלכלי'!$C$66*(IF('מודל כלכלי'!$C$26="פליפ",((-PV(חישובים!$D$21/12,(('הנחות עסקה'!$D$72*'הנחות עסקה'!$I$70)/365*12),(-FV('מודל כלכלי'!$C$20,(9+(('הנחות עסקה'!$D$71-'הנחות עסקה'!$D$72)*'הנחות עסקה'!$I$70)/365),,'מודל כלכלי'!$C$53))))+((0.07*(ROUND('מודל כלכלי'!$C$59*(1+0.06)^9,-4)))+(0.13*(ROUND('מודל כלכלי'!$C$59*(1+0.06)^9,-4)))+(-PV(חישובים!$D$21,((('הנחות עסקה'!$D$72*'הנחות עסקה'!$I$70)-30)/365),,((0.7*(ROUND('מודל כלכלי'!$C$59*(1+0.06)^9,-4)))+(((('הנחות עסקה'!$D$72*'הנחות עסקה'!$I$70)-30)/365)*חישובים!$D$23*(0.7*(ROUND('מודל כלכלי'!$C$59*(1+0.06)^9,-4)))*0.5))))+(-PV(חישובים!$D$21,(('הנחות עסקה'!$D$72*'הנחות עסקה'!$I$70)/365),,((0.1*(ROUND('מודל כלכלי'!$C$59*(1+0.06)^9,-4)))+((('הנחות עסקה'!$D$72*'הנחות עסקה'!$I$70)/365)*חישובים!$D$23*(0.1*(ROUND('מודל כלכלי'!$C$59*(1+0.06)^9,-4)))*0.5)))))+(-(((0.07*(ROUND('מודל כלכלי'!$C$59*(1+0.06)^9,-4)))+(0.13*(ROUND('מודל כלכלי'!$C$59*(1+0.06)^9,-4)))+(-PV(חישובים!$D$21,((('הנחות עסקה'!$D$72*'הנחות עסקה'!$I$70)-30)/365),,((0.7*(ROUND('מודל כלכלי'!$C$59*(1+0.06)^9,-4)))+(((('הנחות עסקה'!$D$72*'הנחות עסקה'!$I$70)-30)/365)*חישובים!$D$23*(0.7*(ROUND('מודל כלכלי'!$C$59*(1+0.06)^9,-4)))*0.5))))+(-PV(חישובים!$D$21,(('הנחות עסקה'!$D$72*'הנחות עסקה'!$I$70)/365),,((0.1*(ROUND('מודל כלכלי'!$C$59*(1+0.06)^9,-4)))+((('הנחות עסקה'!$D$72*'הנחות עסקה'!$I$70)/365)*חישובים!$D$23*(0.1*(ROUND('מודל כלכלי'!$C$59*(1+0.06)^9,-4)))*0.5)))))+(-PV(חישובים!$D$21/12,(('הנחות עסקה'!$D$72*'הנחות עסקה'!$I$70)/365*12),(-FV('מודל כלכלי'!$C$20,(9+(('הנחות עסקה'!$D$71-'הנחות עסקה'!$D$72)*'הנחות עסקה'!$I$70)/365),,'מודל כלכלי'!$C$53)))))*היוון!$C$26)),ROUND('מודל כלכלי'!$C$59*(1+0.06)^9,-4)))*'מודל כלכלי'!$C$14-'מודל כלכלי'!$C$68*(IF('מודל כלכלי'!$C$26="פליפ",((-PV(חישובים!$D$21/12,(('הנחות עסקה'!$D$72*'הנחות עסקה'!$I$70)/365*12),(-FV('מודל כלכלי'!$C$20,(9+(('הנחות עסקה'!$D$71-'הנחות עסקה'!$D$72)*'הנחות עסקה'!$I$70)/365),,'מודל כלכלי'!$C$53))))+((0.07*(ROUND('מודל כלכלי'!$C$59*(1+0.06)^9,-4)))+(0.13*(ROUND('מודל כלכלי'!$C$59*(1+0.06)^9,-4)))+(-PV(חישובים!$D$21,((('הנחות עסקה'!$D$72*'הנחות עסקה'!$I$70)-30)/365),,((0.7*(ROUND('מודל כלכלי'!$C$59*(1+0.06)^9,-4)))+(((('הנחות עסקה'!$D$72*'הנחות עסקה'!$I$70)-30)/365)*חישובים!$D$23*(0.7*(ROUND('מודל כלכלי'!$C$59*(1+0.06)^9,-4)))*0.5))))+(-PV(חישובים!$D$21,(('הנחות עסקה'!$D$72*'הנחות עסקה'!$I$70)/365),,((0.1*(ROUND('מודל כלכלי'!$C$59*(1+0.06)^9,-4)))+((('הנחות עסקה'!$D$72*'הנחות עסקה'!$I$70)/365)*חישובים!$D$23*(0.1*(ROUND('מודל כלכלי'!$C$59*(1+0.06)^9,-4)))*0.5)))))+(-(((0.07*(ROUND('מודל כלכלי'!$C$59*(1+0.06)^9,-4)))+(0.13*(ROUND('מודל כלכלי'!$C$59*(1+0.06)^9,-4)))+(-PV(חישובים!$D$21,((('הנחות עסקה'!$D$72*'הנחות עסקה'!$I$70)-30)/365),,((0.7*(ROUND('מודל כלכלי'!$C$59*(1+0.06)^9,-4)))+(((('הנחות עסקה'!$D$72*'הנחות עסקה'!$I$70)-30)/365)*חישובים!$D$23*(0.7*(ROUND('מודל כלכלי'!$C$59*(1+0.06)^9,-4)))*0.5))))+(-PV(חישובים!$D$21,(('הנחות עסקה'!$D$72*'הנחות עסקה'!$I$70)/365),,((0.1*(ROUND('מודל כלכלי'!$C$59*(1+0.06)^9,-4)))+((('הנחות עסקה'!$D$72*'הנחות עסקה'!$I$70)/365)*חישובים!$D$23*(0.1*(ROUND('מודל כלכלי'!$C$59*(1+0.06)^9,-4)))*0.5)))))+(-PV(חישובים!$D$21/12,(('הנחות עסקה'!$D$72*'הנחות עסקה'!$I$70)/365*12),(-FV('מודל כלכלי'!$C$20,(9+(('הנחות עסקה'!$D$71-'הנחות עסקה'!$D$72)*'הנחות עסקה'!$I$70)/365),,'מודל כלכלי'!$C$53)))))*היוון!$C$26)),ROUND('מודל כלכלי'!$C$59*(1+0.06)^9,-4)))*'מודל כלכלי'!$C$14+'מודל כלכלי'!$C$70,-3))+(ROUND(-FV(חישובים!$D$22,9*12,'מודל כלכלי'!$C$55),-3))+(-'מודל כלכלי'!$C$45)+(-MAX(0,(IF('מודל כלכלי'!$C$26="פליפ",((-PV(חישובים!$D$21/12,(('הנחות עסקה'!$D$72*'הנחות עסקה'!$I$70)/365*12),(-FV('מודל כלכלי'!$C$20,(9+(('הנחות עסקה'!$D$71-'הנחות עסקה'!$D$72)*'הנחות עסקה'!$I$70)/365),,'מודל כלכלי'!$C$53))))+((0.07*(ROUND('מודל כלכלי'!$C$59*(1+0.06)^9,-4)))+(0.13*(ROUND('מודל כלכלי'!$C$59*(1+0.06)^9,-4)))+(-PV(חישובים!$D$21,((('הנחות עסקה'!$D$72*'הנחות עסקה'!$I$70)-30)/365),,((0.7*(ROUND('מודל כלכלי'!$C$59*(1+0.06)^9,-4)))+(((('הנחות עסקה'!$D$72*'הנחות עסקה'!$I$70)-30)/365)*חישובים!$D$23*(0.7*(ROUND('מודל כלכלי'!$C$59*(1+0.06)^9,-4)))*0.5))))+(-PV(חישובים!$D$21,(('הנחות עסקה'!$D$72*'הנחות עסקה'!$I$70)/365),,((0.1*(ROUND('מודל כלכלי'!$C$59*(1+0.06)^9,-4)))+((('הנחות עסקה'!$D$72*'הנחות עסקה'!$I$70)/365)*חישובים!$D$23*(0.1*(ROUND('מודל כלכלי'!$C$59*(1+0.06)^9,-4)))*0.5)))))+(-(((0.07*(ROUND('מודל כלכלי'!$C$59*(1+0.06)^9,-4)))+(0.13*(ROUND('מודל כלכלי'!$C$59*(1+0.06)^9,-4)))+(-PV(חישובים!$D$21,((('הנחות עסקה'!$D$72*'הנחות עסקה'!$I$70)-30)/365),,((0.7*(ROUND('מודל כלכלי'!$C$59*(1+0.06)^9,-4)))+(((('הנחות עסקה'!$D$72*'הנחות עסקה'!$I$70)-30)/365)*חישובים!$D$23*(0.7*(ROUND('מודל כלכלי'!$C$59*(1+0.06)^9,-4)))*0.5))))+(-PV(חישובים!$D$21,(('הנחות עסקה'!$D$72*'הנחות עסקה'!$I$70)/365),,((0.1*(ROUND('מודל כלכלי'!$C$59*(1+0.06)^9,-4)))+((('הנחות עסקה'!$D$72*'הנחות עסקה'!$I$70)/365)*חישובים!$D$23*(0.1*(ROUND('מודל כלכלי'!$C$59*(1+0.06)^9,-4)))*0.5)))))+(-PV(חישובים!$D$21/12,(('הנחות עסקה'!$D$72*'הנחות עסקה'!$I$70)/365*12),(-FV('מודל כלכלי'!$C$20,(9+(('הנחות עסקה'!$D$71-'הנחות עסקה'!$D$72)*'הנחות עסקה'!$I$70)/365),,'מודל כלכלי'!$C$53)))))*היוון!$C$26)),ROUND('מודל כלכלי'!$C$59*(1+0.06)^9,-4)))-(חישובים!$D$28*(1+חישובים!$D$29)^9))*0.25),-4)</f>
        <v>2920000</v>
      </c>
      <c r="G22" s="24">
        <f>ROUND((IF('מודל כלכלי'!$C$26="פליפ",((-PV(חישובים!$D$21/12,(('הנחות עסקה'!$D$72*'הנחות עסקה'!$I$70)/365*12),(-FV('מודל כלכלי'!$C$20,(10+(('הנחות עסקה'!$D$71-'הנחות עסקה'!$D$72)*'הנחות עסקה'!$I$70)/365),,'מודל כלכלי'!$C$53))))+((0.07*(ROUND('מודל כלכלי'!$C$59*(1+0.06)^10,-4)))+(0.13*(ROUND('מודל כלכלי'!$C$59*(1+0.06)^10,-4)))+(-PV(חישובים!$D$21,((('הנחות עסקה'!$D$72*'הנחות עסקה'!$I$70)-30)/365),,((0.7*(ROUND('מודל כלכלי'!$C$59*(1+0.06)^10,-4)))+(((('הנחות עסקה'!$D$72*'הנחות עסקה'!$I$70)-30)/365)*חישובים!$D$23*(0.7*(ROUND('מודל כלכלי'!$C$59*(1+0.06)^10,-4)))*0.5))))+(-PV(חישובים!$D$21,(('הנחות עסקה'!$D$72*'הנחות עסקה'!$I$70)/365),,((0.1*(ROUND('מודל כלכלי'!$C$59*(1+0.06)^10,-4)))+((('הנחות עסקה'!$D$72*'הנחות עסקה'!$I$70)/365)*חישובים!$D$23*(0.1*(ROUND('מודל כלכלי'!$C$59*(1+0.06)^10,-4)))*0.5)))))+(-(((0.07*(ROUND('מודל כלכלי'!$C$59*(1+0.06)^10,-4)))+(0.13*(ROUND('מודל כלכלי'!$C$59*(1+0.06)^10,-4)))+(-PV(חישובים!$D$21,((('הנחות עסקה'!$D$72*'הנחות עסקה'!$I$70)-30)/365),,((0.7*(ROUND('מודל כלכלי'!$C$59*(1+0.06)^10,-4)))+(((('הנחות עסקה'!$D$72*'הנחות עסקה'!$I$70)-30)/365)*חישובים!$D$23*(0.7*(ROUND('מודל כלכלי'!$C$59*(1+0.06)^10,-4)))*0.5))))+(-PV(חישובים!$D$21,(('הנחות עסקה'!$D$72*'הנחות עסקה'!$I$70)/365),,((0.1*(ROUND('מודל כלכלי'!$C$59*(1+0.06)^10,-4)))+((('הנחות עסקה'!$D$72*'הנחות עסקה'!$I$70)/365)*חישובים!$D$23*(0.1*(ROUND('מודל כלכלי'!$C$59*(1+0.06)^10,-4)))*0.5)))))+(-PV(חישובים!$D$21/12,(('הנחות עסקה'!$D$72*'הנחות עסקה'!$I$70)/365*12),(-FV('מודל כלכלי'!$C$20,(10+(('הנחות עסקה'!$D$71-'הנחות עסקה'!$D$72)*'הנחות עסקה'!$I$70)/365),,'מודל כלכלי'!$C$53)))))*היוון!$C$26)),ROUND('מודל כלכלי'!$C$59*(1+0.06)^10,-4)))+(ROUND(FV('מודל כלכלי'!$C$17/12,10*12,'מודל כלכלי'!$C$48,'מודל כלכלי'!$C$46),-4))+(ROUND(-'מודל כלכלי'!$C$66*(IF('מודל כלכלי'!$C$26="פליפ",((-PV(חישובים!$D$21/12,(('הנחות עסקה'!$D$72*'הנחות עסקה'!$I$70)/365*12),(-FV('מודל כלכלי'!$C$20,(10+(('הנחות עסקה'!$D$71-'הנחות עסקה'!$D$72)*'הנחות עסקה'!$I$70)/365),,'מודל כלכלי'!$C$53))))+((0.07*(ROUND('מודל כלכלי'!$C$59*(1+0.06)^10,-4)))+(0.13*(ROUND('מודל כלכלי'!$C$59*(1+0.06)^10,-4)))+(-PV(חישובים!$D$21,((('הנחות עסקה'!$D$72*'הנחות עסקה'!$I$70)-30)/365),,((0.7*(ROUND('מודל כלכלי'!$C$59*(1+0.06)^10,-4)))+(((('הנחות עסקה'!$D$72*'הנחות עסקה'!$I$70)-30)/365)*חישובים!$D$23*(0.7*(ROUND('מודל כלכלי'!$C$59*(1+0.06)^10,-4)))*0.5))))+(-PV(חישובים!$D$21,(('הנחות עסקה'!$D$72*'הנחות עסקה'!$I$70)/365),,((0.1*(ROUND('מודל כלכלי'!$C$59*(1+0.06)^10,-4)))+((('הנחות עסקה'!$D$72*'הנחות עסקה'!$I$70)/365)*חישובים!$D$23*(0.1*(ROUND('מודל כלכלי'!$C$59*(1+0.06)^10,-4)))*0.5)))))+(-(((0.07*(ROUND('מודל כלכלי'!$C$59*(1+0.06)^10,-4)))+(0.13*(ROUND('מודל כלכלי'!$C$59*(1+0.06)^10,-4)))+(-PV(חישובים!$D$21,((('הנחות עסקה'!$D$72*'הנחות עסקה'!$I$70)-30)/365),,((0.7*(ROUND('מודל כלכלי'!$C$59*(1+0.06)^10,-4)))+(((('הנחות עסקה'!$D$72*'הנחות עסקה'!$I$70)-30)/365)*חישובים!$D$23*(0.7*(ROUND('מודל כלכלי'!$C$59*(1+0.06)^10,-4)))*0.5))))+(-PV(חישובים!$D$21,(('הנחות עסקה'!$D$72*'הנחות עסקה'!$I$70)/365),,((0.1*(ROUND('מודל כלכלי'!$C$59*(1+0.06)^10,-4)))+((('הנחות עסקה'!$D$72*'הנחות עסקה'!$I$70)/365)*חישובים!$D$23*(0.1*(ROUND('מודל כלכלי'!$C$59*(1+0.06)^10,-4)))*0.5)))))+(-PV(חישובים!$D$21/12,(('הנחות עסקה'!$D$72*'הנחות עסקה'!$I$70)/365*12),(-FV('מודל כלכלי'!$C$20,(10+(('הנחות עסקה'!$D$71-'הנחות עסקה'!$D$72)*'הנחות עסקה'!$I$70)/365),,'מודל כלכלי'!$C$53)))))*היוון!$C$26)),ROUND('מודל כלכלי'!$C$59*(1+0.06)^10,-4)))*'מודל כלכלי'!$C$14-'מודל כלכלי'!$C$68*(IF('מודל כלכלי'!$C$26="פליפ",((-PV(חישובים!$D$21/12,(('הנחות עסקה'!$D$72*'הנחות עסקה'!$I$70)/365*12),(-FV('מודל כלכלי'!$C$20,(10+(('הנחות עסקה'!$D$71-'הנחות עסקה'!$D$72)*'הנחות עסקה'!$I$70)/365),,'מודל כלכלי'!$C$53))))+((0.07*(ROUND('מודל כלכלי'!$C$59*(1+0.06)^10,-4)))+(0.13*(ROUND('מודל כלכלי'!$C$59*(1+0.06)^10,-4)))+(-PV(חישובים!$D$21,((('הנחות עסקה'!$D$72*'הנחות עסקה'!$I$70)-30)/365),,((0.7*(ROUND('מודל כלכלי'!$C$59*(1+0.06)^10,-4)))+(((('הנחות עסקה'!$D$72*'הנחות עסקה'!$I$70)-30)/365)*חישובים!$D$23*(0.7*(ROUND('מודל כלכלי'!$C$59*(1+0.06)^10,-4)))*0.5))))+(-PV(חישובים!$D$21,(('הנחות עסקה'!$D$72*'הנחות עסקה'!$I$70)/365),,((0.1*(ROUND('מודל כלכלי'!$C$59*(1+0.06)^10,-4)))+((('הנחות עסקה'!$D$72*'הנחות עסקה'!$I$70)/365)*חישובים!$D$23*(0.1*(ROUND('מודל כלכלי'!$C$59*(1+0.06)^10,-4)))*0.5)))))+(-(((0.07*(ROUND('מודל כלכלי'!$C$59*(1+0.06)^10,-4)))+(0.13*(ROUND('מודל כלכלי'!$C$59*(1+0.06)^10,-4)))+(-PV(חישובים!$D$21,((('הנחות עסקה'!$D$72*'הנחות עסקה'!$I$70)-30)/365),,((0.7*(ROUND('מודל כלכלי'!$C$59*(1+0.06)^10,-4)))+(((('הנחות עסקה'!$D$72*'הנחות עסקה'!$I$70)-30)/365)*חישובים!$D$23*(0.7*(ROUND('מודל כלכלי'!$C$59*(1+0.06)^10,-4)))*0.5))))+(-PV(חישובים!$D$21,(('הנחות עסקה'!$D$72*'הנחות עסקה'!$I$70)/365),,((0.1*(ROUND('מודל כלכלי'!$C$59*(1+0.06)^10,-4)))+((('הנחות עסקה'!$D$72*'הנחות עסקה'!$I$70)/365)*חישובים!$D$23*(0.1*(ROUND('מודל כלכלי'!$C$59*(1+0.06)^10,-4)))*0.5)))))+(-PV(חישובים!$D$21/12,(('הנחות עסקה'!$D$72*'הנחות עסקה'!$I$70)/365*12),(-FV('מודל כלכלי'!$C$20,(10+(('הנחות עסקה'!$D$71-'הנחות עסקה'!$D$72)*'הנחות עסקה'!$I$70)/365),,'מודל כלכלי'!$C$53)))))*היוון!$C$26)),ROUND('מודל כלכלי'!$C$59*(1+0.06)^10,-4)))*'מודל כלכלי'!$C$14+'מודל כלכלי'!$C$70,-3))+(ROUND(-FV(חישובים!$D$22,10*12,'מודל כלכלי'!$C$55),-3))+(-'מודל כלכלי'!$C$45)+(-MAX(0,(IF('מודל כלכלי'!$C$26="פליפ",((-PV(חישובים!$D$21/12,(('הנחות עסקה'!$D$72*'הנחות עסקה'!$I$70)/365*12),(-FV('מודל כלכלי'!$C$20,(10+(('הנחות עסקה'!$D$71-'הנחות עסקה'!$D$72)*'הנחות עסקה'!$I$70)/365),,'מודל כלכלי'!$C$53))))+((0.07*(ROUND('מודל כלכלי'!$C$59*(1+0.06)^10,-4)))+(0.13*(ROUND('מודל כלכלי'!$C$59*(1+0.06)^10,-4)))+(-PV(חישובים!$D$21,((('הנחות עסקה'!$D$72*'הנחות עסקה'!$I$70)-30)/365),,((0.7*(ROUND('מודל כלכלי'!$C$59*(1+0.06)^10,-4)))+(((('הנחות עסקה'!$D$72*'הנחות עסקה'!$I$70)-30)/365)*חישובים!$D$23*(0.7*(ROUND('מודל כלכלי'!$C$59*(1+0.06)^10,-4)))*0.5))))+(-PV(חישובים!$D$21,(('הנחות עסקה'!$D$72*'הנחות עסקה'!$I$70)/365),,((0.1*(ROUND('מודל כלכלי'!$C$59*(1+0.06)^10,-4)))+((('הנחות עסקה'!$D$72*'הנחות עסקה'!$I$70)/365)*חישובים!$D$23*(0.1*(ROUND('מודל כלכלי'!$C$59*(1+0.06)^10,-4)))*0.5)))))+(-(((0.07*(ROUND('מודל כלכלי'!$C$59*(1+0.06)^10,-4)))+(0.13*(ROUND('מודל כלכלי'!$C$59*(1+0.06)^10,-4)))+(-PV(חישובים!$D$21,((('הנחות עסקה'!$D$72*'הנחות עסקה'!$I$70)-30)/365),,((0.7*(ROUND('מודל כלכלי'!$C$59*(1+0.06)^10,-4)))+(((('הנחות עסקה'!$D$72*'הנחות עסקה'!$I$70)-30)/365)*חישובים!$D$23*(0.7*(ROUND('מודל כלכלי'!$C$59*(1+0.06)^10,-4)))*0.5))))+(-PV(חישובים!$D$21,(('הנחות עסקה'!$D$72*'הנחות עסקה'!$I$70)/365),,((0.1*(ROUND('מודל כלכלי'!$C$59*(1+0.06)^10,-4)))+((('הנחות עסקה'!$D$72*'הנחות עסקה'!$I$70)/365)*חישובים!$D$23*(0.1*(ROUND('מודל כלכלי'!$C$59*(1+0.06)^10,-4)))*0.5)))))+(-PV(חישובים!$D$21/12,(('הנחות עסקה'!$D$72*'הנחות עסקה'!$I$70)/365*12),(-FV('מודל כלכלי'!$C$20,(10+(('הנחות עסקה'!$D$71-'הנחות עסקה'!$D$72)*'הנחות עסקה'!$I$70)/365),,'מודל כלכלי'!$C$53)))))*היוון!$C$26)),ROUND('מודל כלכלי'!$C$59*(1+0.06)^10,-4)))-(חישובים!$D$28*(1+חישובים!$D$29)^10))*0.25),-4)</f>
        <v>3210000</v>
      </c>
      <c r="H22" s="24">
        <f>ROUND((IF('מודל כלכלי'!$C$26="פליפ",((-PV(חישובים!$D$21/12,(('הנחות עסקה'!$D$72*'הנחות עסקה'!$I$70)/365*12),(-FV('מודל כלכלי'!$C$20,(11+(('הנחות עסקה'!$D$71-'הנחות עסקה'!$D$72)*'הנחות עסקה'!$I$70)/365),,'מודל כלכלי'!$C$53))))+((0.07*(ROUND('מודל כלכלי'!$C$59*(1+0.06)^11,-4)))+(0.13*(ROUND('מודל כלכלי'!$C$59*(1+0.06)^11,-4)))+(-PV(חישובים!$D$21,((('הנחות עסקה'!$D$72*'הנחות עסקה'!$I$70)-30)/365),,((0.7*(ROUND('מודל כלכלי'!$C$59*(1+0.06)^11,-4)))+(((('הנחות עסקה'!$D$72*'הנחות עסקה'!$I$70)-30)/365)*חישובים!$D$23*(0.7*(ROUND('מודל כלכלי'!$C$59*(1+0.06)^11,-4)))*0.5))))+(-PV(חישובים!$D$21,(('הנחות עסקה'!$D$72*'הנחות עסקה'!$I$70)/365),,((0.1*(ROUND('מודל כלכלי'!$C$59*(1+0.06)^11,-4)))+((('הנחות עסקה'!$D$72*'הנחות עסקה'!$I$70)/365)*חישובים!$D$23*(0.1*(ROUND('מודל כלכלי'!$C$59*(1+0.06)^11,-4)))*0.5)))))+(-(((0.07*(ROUND('מודל כלכלי'!$C$59*(1+0.06)^11,-4)))+(0.13*(ROUND('מודל כלכלי'!$C$59*(1+0.06)^11,-4)))+(-PV(חישובים!$D$21,((('הנחות עסקה'!$D$72*'הנחות עסקה'!$I$70)-30)/365),,((0.7*(ROUND('מודל כלכלי'!$C$59*(1+0.06)^11,-4)))+(((('הנחות עסקה'!$D$72*'הנחות עסקה'!$I$70)-30)/365)*חישובים!$D$23*(0.7*(ROUND('מודל כלכלי'!$C$59*(1+0.06)^11,-4)))*0.5))))+(-PV(חישובים!$D$21,(('הנחות עסקה'!$D$72*'הנחות עסקה'!$I$70)/365),,((0.1*(ROUND('מודל כלכלי'!$C$59*(1+0.06)^11,-4)))+((('הנחות עסקה'!$D$72*'הנחות עסקה'!$I$70)/365)*חישובים!$D$23*(0.1*(ROUND('מודל כלכלי'!$C$59*(1+0.06)^11,-4)))*0.5)))))+(-PV(חישובים!$D$21/12,(('הנחות עסקה'!$D$72*'הנחות עסקה'!$I$70)/365*12),(-FV('מודל כלכלי'!$C$20,(11+(('הנחות עסקה'!$D$71-'הנחות עסקה'!$D$72)*'הנחות עסקה'!$I$70)/365),,'מודל כלכלי'!$C$53)))))*היוון!$C$26)),ROUND('מודל כלכלי'!$C$59*(1+0.06)^11,-4)))+(ROUND(FV('מודל כלכלי'!$C$17/12,11*12,'מודל כלכלי'!$C$48,'מודל כלכלי'!$C$46),-4))+(ROUND(-'מודל כלכלי'!$C$66*(IF('מודל כלכלי'!$C$26="פליפ",((-PV(חישובים!$D$21/12,(('הנחות עסקה'!$D$72*'הנחות עסקה'!$I$70)/365*12),(-FV('מודל כלכלי'!$C$20,(11+(('הנחות עסקה'!$D$71-'הנחות עסקה'!$D$72)*'הנחות עסקה'!$I$70)/365),,'מודל כלכלי'!$C$53))))+((0.07*(ROUND('מודל כלכלי'!$C$59*(1+0.06)^11,-4)))+(0.13*(ROUND('מודל כלכלי'!$C$59*(1+0.06)^11,-4)))+(-PV(חישובים!$D$21,((('הנחות עסקה'!$D$72*'הנחות עסקה'!$I$70)-30)/365),,((0.7*(ROUND('מודל כלכלי'!$C$59*(1+0.06)^11,-4)))+(((('הנחות עסקה'!$D$72*'הנחות עסקה'!$I$70)-30)/365)*חישובים!$D$23*(0.7*(ROUND('מודל כלכלי'!$C$59*(1+0.06)^11,-4)))*0.5))))+(-PV(חישובים!$D$21,(('הנחות עסקה'!$D$72*'הנחות עסקה'!$I$70)/365),,((0.1*(ROUND('מודל כלכלי'!$C$59*(1+0.06)^11,-4)))+((('הנחות עסקה'!$D$72*'הנחות עסקה'!$I$70)/365)*חישובים!$D$23*(0.1*(ROUND('מודל כלכלי'!$C$59*(1+0.06)^11,-4)))*0.5)))))+(-(((0.07*(ROUND('מודל כלכלי'!$C$59*(1+0.06)^11,-4)))+(0.13*(ROUND('מודל כלכלי'!$C$59*(1+0.06)^11,-4)))+(-PV(חישובים!$D$21,((('הנחות עסקה'!$D$72*'הנחות עסקה'!$I$70)-30)/365),,((0.7*(ROUND('מודל כלכלי'!$C$59*(1+0.06)^11,-4)))+(((('הנחות עסקה'!$D$72*'הנחות עסקה'!$I$70)-30)/365)*חישובים!$D$23*(0.7*(ROUND('מודל כלכלי'!$C$59*(1+0.06)^11,-4)))*0.5))))+(-PV(חישובים!$D$21,(('הנחות עסקה'!$D$72*'הנחות עסקה'!$I$70)/365),,((0.1*(ROUND('מודל כלכלי'!$C$59*(1+0.06)^11,-4)))+((('הנחות עסקה'!$D$72*'הנחות עסקה'!$I$70)/365)*חישובים!$D$23*(0.1*(ROUND('מודל כלכלי'!$C$59*(1+0.06)^11,-4)))*0.5)))))+(-PV(חישובים!$D$21/12,(('הנחות עסקה'!$D$72*'הנחות עסקה'!$I$70)/365*12),(-FV('מודל כלכלי'!$C$20,(11+(('הנחות עסקה'!$D$71-'הנחות עסקה'!$D$72)*'הנחות עסקה'!$I$70)/365),,'מודל כלכלי'!$C$53)))))*היוון!$C$26)),ROUND('מודל כלכלי'!$C$59*(1+0.06)^11,-4)))*'מודל כלכלי'!$C$14-'מודל כלכלי'!$C$68*(IF('מודל כלכלי'!$C$26="פליפ",((-PV(חישובים!$D$21/12,(('הנחות עסקה'!$D$72*'הנחות עסקה'!$I$70)/365*12),(-FV('מודל כלכלי'!$C$20,(11+(('הנחות עסקה'!$D$71-'הנחות עסקה'!$D$72)*'הנחות עסקה'!$I$70)/365),,'מודל כלכלי'!$C$53))))+((0.07*(ROUND('מודל כלכלי'!$C$59*(1+0.06)^11,-4)))+(0.13*(ROUND('מודל כלכלי'!$C$59*(1+0.06)^11,-4)))+(-PV(חישובים!$D$21,((('הנחות עסקה'!$D$72*'הנחות עסקה'!$I$70)-30)/365),,((0.7*(ROUND('מודל כלכלי'!$C$59*(1+0.06)^11,-4)))+(((('הנחות עסקה'!$D$72*'הנחות עסקה'!$I$70)-30)/365)*חישובים!$D$23*(0.7*(ROUND('מודל כלכלי'!$C$59*(1+0.06)^11,-4)))*0.5))))+(-PV(חישובים!$D$21,(('הנחות עסקה'!$D$72*'הנחות עסקה'!$I$70)/365),,((0.1*(ROUND('מודל כלכלי'!$C$59*(1+0.06)^11,-4)))+((('הנחות עסקה'!$D$72*'הנחות עסקה'!$I$70)/365)*חישובים!$D$23*(0.1*(ROUND('מודל כלכלי'!$C$59*(1+0.06)^11,-4)))*0.5)))))+(-(((0.07*(ROUND('מודל כלכלי'!$C$59*(1+0.06)^11,-4)))+(0.13*(ROUND('מודל כלכלי'!$C$59*(1+0.06)^11,-4)))+(-PV(חישובים!$D$21,((('הנחות עסקה'!$D$72*'הנחות עסקה'!$I$70)-30)/365),,((0.7*(ROUND('מודל כלכלי'!$C$59*(1+0.06)^11,-4)))+(((('הנחות עסקה'!$D$72*'הנחות עסקה'!$I$70)-30)/365)*חישובים!$D$23*(0.7*(ROUND('מודל כלכלי'!$C$59*(1+0.06)^11,-4)))*0.5))))+(-PV(חישובים!$D$21,(('הנחות עסקה'!$D$72*'הנחות עסקה'!$I$70)/365),,((0.1*(ROUND('מודל כלכלי'!$C$59*(1+0.06)^11,-4)))+((('הנחות עסקה'!$D$72*'הנחות עסקה'!$I$70)/365)*חישובים!$D$23*(0.1*(ROUND('מודל כלכלי'!$C$59*(1+0.06)^11,-4)))*0.5)))))+(-PV(חישובים!$D$21/12,(('הנחות עסקה'!$D$72*'הנחות עסקה'!$I$70)/365*12),(-FV('מודל כלכלי'!$C$20,(11+(('הנחות עסקה'!$D$71-'הנחות עסקה'!$D$72)*'הנחות עסקה'!$I$70)/365),,'מודל כלכלי'!$C$53)))))*היוון!$C$26)),ROUND('מודל כלכלי'!$C$59*(1+0.06)^11,-4)))*'מודל כלכלי'!$C$14+'מודל כלכלי'!$C$70,-3))+(ROUND(-FV(חישובים!$D$22,11*12,'מודל כלכלי'!$C$55),-3))+(-'מודל כלכלי'!$C$45)+(-MAX(0,(IF('מודל כלכלי'!$C$26="פליפ",((-PV(חישובים!$D$21/12,(('הנחות עסקה'!$D$72*'הנחות עסקה'!$I$70)/365*12),(-FV('מודל כלכלי'!$C$20,(11+(('הנחות עסקה'!$D$71-'הנחות עסקה'!$D$72)*'הנחות עסקה'!$I$70)/365),,'מודל כלכלי'!$C$53))))+((0.07*(ROUND('מודל כלכלי'!$C$59*(1+0.06)^11,-4)))+(0.13*(ROUND('מודל כלכלי'!$C$59*(1+0.06)^11,-4)))+(-PV(חישובים!$D$21,((('הנחות עסקה'!$D$72*'הנחות עסקה'!$I$70)-30)/365),,((0.7*(ROUND('מודל כלכלי'!$C$59*(1+0.06)^11,-4)))+(((('הנחות עסקה'!$D$72*'הנחות עסקה'!$I$70)-30)/365)*חישובים!$D$23*(0.7*(ROUND('מודל כלכלי'!$C$59*(1+0.06)^11,-4)))*0.5))))+(-PV(חישובים!$D$21,(('הנחות עסקה'!$D$72*'הנחות עסקה'!$I$70)/365),,((0.1*(ROUND('מודל כלכלי'!$C$59*(1+0.06)^11,-4)))+((('הנחות עסקה'!$D$72*'הנחות עסקה'!$I$70)/365)*חישובים!$D$23*(0.1*(ROUND('מודל כלכלי'!$C$59*(1+0.06)^11,-4)))*0.5)))))+(-(((0.07*(ROUND('מודל כלכלי'!$C$59*(1+0.06)^11,-4)))+(0.13*(ROUND('מודל כלכלי'!$C$59*(1+0.06)^11,-4)))+(-PV(חישובים!$D$21,((('הנחות עסקה'!$D$72*'הנחות עסקה'!$I$70)-30)/365),,((0.7*(ROUND('מודל כלכלי'!$C$59*(1+0.06)^11,-4)))+(((('הנחות עסקה'!$D$72*'הנחות עסקה'!$I$70)-30)/365)*חישובים!$D$23*(0.7*(ROUND('מודל כלכלי'!$C$59*(1+0.06)^11,-4)))*0.5))))+(-PV(חישובים!$D$21,(('הנחות עסקה'!$D$72*'הנחות עסקה'!$I$70)/365),,((0.1*(ROUND('מודל כלכלי'!$C$59*(1+0.06)^11,-4)))+((('הנחות עסקה'!$D$72*'הנחות עסקה'!$I$70)/365)*חישובים!$D$23*(0.1*(ROUND('מודל כלכלי'!$C$59*(1+0.06)^11,-4)))*0.5)))))+(-PV(חישובים!$D$21/12,(('הנחות עסקה'!$D$72*'הנחות עסקה'!$I$70)/365*12),(-FV('מודל כלכלי'!$C$20,(11+(('הנחות עסקה'!$D$71-'הנחות עסקה'!$D$72)*'הנחות עסקה'!$I$70)/365),,'מודל כלכלי'!$C$53)))))*היוון!$C$26)),ROUND('מודל כלכלי'!$C$59*(1+0.06)^11,-4)))-(חישובים!$D$28*(1+חישובים!$D$29)^11))*0.25),-4)</f>
        <v>3520000</v>
      </c>
      <c r="I22" s="24">
        <f>ROUND((IF('מודל כלכלי'!$C$26="פליפ",((-PV(חישובים!$D$21/12,(('הנחות עסקה'!$D$72*'הנחות עסקה'!$I$70)/365*12),(-FV('מודל כלכלי'!$C$20,(12+(('הנחות עסקה'!$D$71-'הנחות עסקה'!$D$72)*'הנחות עסקה'!$I$70)/365),,'מודל כלכלי'!$C$53))))+((0.07*(ROUND('מודל כלכלי'!$C$59*(1+0.06)^12,-4)))+(0.13*(ROUND('מודל כלכלי'!$C$59*(1+0.06)^12,-4)))+(-PV(חישובים!$D$21,((('הנחות עסקה'!$D$72*'הנחות עסקה'!$I$70)-30)/365),,((0.7*(ROUND('מודל כלכלי'!$C$59*(1+0.06)^12,-4)))+(((('הנחות עסקה'!$D$72*'הנחות עסקה'!$I$70)-30)/365)*חישובים!$D$23*(0.7*(ROUND('מודל כלכלי'!$C$59*(1+0.06)^12,-4)))*0.5))))+(-PV(חישובים!$D$21,(('הנחות עסקה'!$D$72*'הנחות עסקה'!$I$70)/365),,((0.1*(ROUND('מודל כלכלי'!$C$59*(1+0.06)^12,-4)))+((('הנחות עסקה'!$D$72*'הנחות עסקה'!$I$70)/365)*חישובים!$D$23*(0.1*(ROUND('מודל כלכלי'!$C$59*(1+0.06)^12,-4)))*0.5)))))+(-(((0.07*(ROUND('מודל כלכלי'!$C$59*(1+0.06)^12,-4)))+(0.13*(ROUND('מודל כלכלי'!$C$59*(1+0.06)^12,-4)))+(-PV(חישובים!$D$21,((('הנחות עסקה'!$D$72*'הנחות עסקה'!$I$70)-30)/365),,((0.7*(ROUND('מודל כלכלי'!$C$59*(1+0.06)^12,-4)))+(((('הנחות עסקה'!$D$72*'הנחות עסקה'!$I$70)-30)/365)*חישובים!$D$23*(0.7*(ROUND('מודל כלכלי'!$C$59*(1+0.06)^12,-4)))*0.5))))+(-PV(חישובים!$D$21,(('הנחות עסקה'!$D$72*'הנחות עסקה'!$I$70)/365),,((0.1*(ROUND('מודל כלכלי'!$C$59*(1+0.06)^12,-4)))+((('הנחות עסקה'!$D$72*'הנחות עסקה'!$I$70)/365)*חישובים!$D$23*(0.1*(ROUND('מודל כלכלי'!$C$59*(1+0.06)^12,-4)))*0.5)))))+(-PV(חישובים!$D$21/12,(('הנחות עסקה'!$D$72*'הנחות עסקה'!$I$70)/365*12),(-FV('מודל כלכלי'!$C$20,(12+(('הנחות עסקה'!$D$71-'הנחות עסקה'!$D$72)*'הנחות עסקה'!$I$70)/365),,'מודל כלכלי'!$C$53)))))*היוון!$C$26)),ROUND('מודל כלכלי'!$C$59*(1+0.06)^12,-4)))+(ROUND(FV('מודל כלכלי'!$C$17/12,12*12,'מודל כלכלי'!$C$48,'מודל כלכלי'!$C$46),-4))+(ROUND(-'מודל כלכלי'!$C$66*(IF('מודל כלכלי'!$C$26="פליפ",((-PV(חישובים!$D$21/12,(('הנחות עסקה'!$D$72*'הנחות עסקה'!$I$70)/365*12),(-FV('מודל כלכלי'!$C$20,(12+(('הנחות עסקה'!$D$71-'הנחות עסקה'!$D$72)*'הנחות עסקה'!$I$70)/365),,'מודל כלכלי'!$C$53))))+((0.07*(ROUND('מודל כלכלי'!$C$59*(1+0.06)^12,-4)))+(0.13*(ROUND('מודל כלכלי'!$C$59*(1+0.06)^12,-4)))+(-PV(חישובים!$D$21,((('הנחות עסקה'!$D$72*'הנחות עסקה'!$I$70)-30)/365),,((0.7*(ROUND('מודל כלכלי'!$C$59*(1+0.06)^12,-4)))+(((('הנחות עסקה'!$D$72*'הנחות עסקה'!$I$70)-30)/365)*חישובים!$D$23*(0.7*(ROUND('מודל כלכלי'!$C$59*(1+0.06)^12,-4)))*0.5))))+(-PV(חישובים!$D$21,(('הנחות עסקה'!$D$72*'הנחות עסקה'!$I$70)/365),,((0.1*(ROUND('מודל כלכלי'!$C$59*(1+0.06)^12,-4)))+((('הנחות עסקה'!$D$72*'הנחות עסקה'!$I$70)/365)*חישובים!$D$23*(0.1*(ROUND('מודל כלכלי'!$C$59*(1+0.06)^12,-4)))*0.5)))))+(-(((0.07*(ROUND('מודל כלכלי'!$C$59*(1+0.06)^12,-4)))+(0.13*(ROUND('מודל כלכלי'!$C$59*(1+0.06)^12,-4)))+(-PV(חישובים!$D$21,((('הנחות עסקה'!$D$72*'הנחות עסקה'!$I$70)-30)/365),,((0.7*(ROUND('מודל כלכלי'!$C$59*(1+0.06)^12,-4)))+(((('הנחות עסקה'!$D$72*'הנחות עסקה'!$I$70)-30)/365)*חישובים!$D$23*(0.7*(ROUND('מודל כלכלי'!$C$59*(1+0.06)^12,-4)))*0.5))))+(-PV(חישובים!$D$21,(('הנחות עסקה'!$D$72*'הנחות עסקה'!$I$70)/365),,((0.1*(ROUND('מודל כלכלי'!$C$59*(1+0.06)^12,-4)))+((('הנחות עסקה'!$D$72*'הנחות עסקה'!$I$70)/365)*חישובים!$D$23*(0.1*(ROUND('מודל כלכלי'!$C$59*(1+0.06)^12,-4)))*0.5)))))+(-PV(חישובים!$D$21/12,(('הנחות עסקה'!$D$72*'הנחות עסקה'!$I$70)/365*12),(-FV('מודל כלכלי'!$C$20,(12+(('הנחות עסקה'!$D$71-'הנחות עסקה'!$D$72)*'הנחות עסקה'!$I$70)/365),,'מודל כלכלי'!$C$53)))))*היוון!$C$26)),ROUND('מודל כלכלי'!$C$59*(1+0.06)^12,-4)))*'מודל כלכלי'!$C$14-'מודל כלכלי'!$C$68*(IF('מודל כלכלי'!$C$26="פליפ",((-PV(חישובים!$D$21/12,(('הנחות עסקה'!$D$72*'הנחות עסקה'!$I$70)/365*12),(-FV('מודל כלכלי'!$C$20,(12+(('הנחות עסקה'!$D$71-'הנחות עסקה'!$D$72)*'הנחות עסקה'!$I$70)/365),,'מודל כלכלי'!$C$53))))+((0.07*(ROUND('מודל כלכלי'!$C$59*(1+0.06)^12,-4)))+(0.13*(ROUND('מודל כלכלי'!$C$59*(1+0.06)^12,-4)))+(-PV(חישובים!$D$21,((('הנחות עסקה'!$D$72*'הנחות עסקה'!$I$70)-30)/365),,((0.7*(ROUND('מודל כלכלי'!$C$59*(1+0.06)^12,-4)))+(((('הנחות עסקה'!$D$72*'הנחות עסקה'!$I$70)-30)/365)*חישובים!$D$23*(0.7*(ROUND('מודל כלכלי'!$C$59*(1+0.06)^12,-4)))*0.5))))+(-PV(חישובים!$D$21,(('הנחות עסקה'!$D$72*'הנחות עסקה'!$I$70)/365),,((0.1*(ROUND('מודל כלכלי'!$C$59*(1+0.06)^12,-4)))+((('הנחות עסקה'!$D$72*'הנחות עסקה'!$I$70)/365)*חישובים!$D$23*(0.1*(ROUND('מודל כלכלי'!$C$59*(1+0.06)^12,-4)))*0.5)))))+(-(((0.07*(ROUND('מודל כלכלי'!$C$59*(1+0.06)^12,-4)))+(0.13*(ROUND('מודל כלכלי'!$C$59*(1+0.06)^12,-4)))+(-PV(חישובים!$D$21,((('הנחות עסקה'!$D$72*'הנחות עסקה'!$I$70)-30)/365),,((0.7*(ROUND('מודל כלכלי'!$C$59*(1+0.06)^12,-4)))+(((('הנחות עסקה'!$D$72*'הנחות עסקה'!$I$70)-30)/365)*חישובים!$D$23*(0.7*(ROUND('מודל כלכלי'!$C$59*(1+0.06)^12,-4)))*0.5))))+(-PV(חישובים!$D$21,(('הנחות עסקה'!$D$72*'הנחות עסקה'!$I$70)/365),,((0.1*(ROUND('מודל כלכלי'!$C$59*(1+0.06)^12,-4)))+((('הנחות עסקה'!$D$72*'הנחות עסקה'!$I$70)/365)*חישובים!$D$23*(0.1*(ROUND('מודל כלכלי'!$C$59*(1+0.06)^12,-4)))*0.5)))))+(-PV(חישובים!$D$21/12,(('הנחות עסקה'!$D$72*'הנחות עסקה'!$I$70)/365*12),(-FV('מודל כלכלי'!$C$20,(12+(('הנחות עסקה'!$D$71-'הנחות עסקה'!$D$72)*'הנחות עסקה'!$I$70)/365),,'מודל כלכלי'!$C$53)))))*היוון!$C$26)),ROUND('מודל כלכלי'!$C$59*(1+0.06)^12,-4)))*'מודל כלכלי'!$C$14+'מודל כלכלי'!$C$70,-3))+(ROUND(-FV(חישובים!$D$22,12*12,'מודל כלכלי'!$C$55),-3))+(-'מודל כלכלי'!$C$45)+(-MAX(0,(IF('מודל כלכלי'!$C$26="פליפ",((-PV(חישובים!$D$21/12,(('הנחות עסקה'!$D$72*'הנחות עסקה'!$I$70)/365*12),(-FV('מודל כלכלי'!$C$20,(12+(('הנחות עסקה'!$D$71-'הנחות עסקה'!$D$72)*'הנחות עסקה'!$I$70)/365),,'מודל כלכלי'!$C$53))))+((0.07*(ROUND('מודל כלכלי'!$C$59*(1+0.06)^12,-4)))+(0.13*(ROUND('מודל כלכלי'!$C$59*(1+0.06)^12,-4)))+(-PV(חישובים!$D$21,((('הנחות עסקה'!$D$72*'הנחות עסקה'!$I$70)-30)/365),,((0.7*(ROUND('מודל כלכלי'!$C$59*(1+0.06)^12,-4)))+(((('הנחות עסקה'!$D$72*'הנחות עסקה'!$I$70)-30)/365)*חישובים!$D$23*(0.7*(ROUND('מודל כלכלי'!$C$59*(1+0.06)^12,-4)))*0.5))))+(-PV(חישובים!$D$21,(('הנחות עסקה'!$D$72*'הנחות עסקה'!$I$70)/365),,((0.1*(ROUND('מודל כלכלי'!$C$59*(1+0.06)^12,-4)))+((('הנחות עסקה'!$D$72*'הנחות עסקה'!$I$70)/365)*חישובים!$D$23*(0.1*(ROUND('מודל כלכלי'!$C$59*(1+0.06)^12,-4)))*0.5)))))+(-(((0.07*(ROUND('מודל כלכלי'!$C$59*(1+0.06)^12,-4)))+(0.13*(ROUND('מודל כלכלי'!$C$59*(1+0.06)^12,-4)))+(-PV(חישובים!$D$21,((('הנחות עסקה'!$D$72*'הנחות עסקה'!$I$70)-30)/365),,((0.7*(ROUND('מודל כלכלי'!$C$59*(1+0.06)^12,-4)))+(((('הנחות עסקה'!$D$72*'הנחות עסקה'!$I$70)-30)/365)*חישובים!$D$23*(0.7*(ROUND('מודל כלכלי'!$C$59*(1+0.06)^12,-4)))*0.5))))+(-PV(חישובים!$D$21,(('הנחות עסקה'!$D$72*'הנחות עסקה'!$I$70)/365),,((0.1*(ROUND('מודל כלכלי'!$C$59*(1+0.06)^12,-4)))+((('הנחות עסקה'!$D$72*'הנחות עסקה'!$I$70)/365)*חישובים!$D$23*(0.1*(ROUND('מודל כלכלי'!$C$59*(1+0.06)^12,-4)))*0.5)))))+(-PV(חישובים!$D$21/12,(('הנחות עסקה'!$D$72*'הנחות עסקה'!$I$70)/365*12),(-FV('מודל כלכלי'!$C$20,(12+(('הנחות עסקה'!$D$71-'הנחות עסקה'!$D$72)*'הנחות עסקה'!$I$70)/365),,'מודל כלכלי'!$C$53)))))*היוון!$C$26)),ROUND('מודל כלכלי'!$C$59*(1+0.06)^12,-4)))-(חישובים!$D$28*(1+חישובים!$D$29)^12))*0.25),-4)</f>
        <v>3850000</v>
      </c>
      <c r="J22" s="24">
        <f>ROUND((IF('מודל כלכלי'!$C$26="פליפ",((-PV(חישובים!$D$21/12,(('הנחות עסקה'!$D$72*'הנחות עסקה'!$I$70)/365*12),(-FV('מודל כלכלי'!$C$20,(13+(('הנחות עסקה'!$D$71-'הנחות עסקה'!$D$72)*'הנחות עסקה'!$I$70)/365),,'מודל כלכלי'!$C$53))))+((0.07*(ROUND('מודל כלכלי'!$C$59*(1+0.06)^13,-4)))+(0.13*(ROUND('מודל כלכלי'!$C$59*(1+0.06)^13,-4)))+(-PV(חישובים!$D$21,((('הנחות עסקה'!$D$72*'הנחות עסקה'!$I$70)-30)/365),,((0.7*(ROUND('מודל כלכלי'!$C$59*(1+0.06)^13,-4)))+(((('הנחות עסקה'!$D$72*'הנחות עסקה'!$I$70)-30)/365)*חישובים!$D$23*(0.7*(ROUND('מודל כלכלי'!$C$59*(1+0.06)^13,-4)))*0.5))))+(-PV(חישובים!$D$21,(('הנחות עסקה'!$D$72*'הנחות עסקה'!$I$70)/365),,((0.1*(ROUND('מודל כלכלי'!$C$59*(1+0.06)^13,-4)))+((('הנחות עסקה'!$D$72*'הנחות עסקה'!$I$70)/365)*חישובים!$D$23*(0.1*(ROUND('מודל כלכלי'!$C$59*(1+0.06)^13,-4)))*0.5)))))+(-(((0.07*(ROUND('מודל כלכלי'!$C$59*(1+0.06)^13,-4)))+(0.13*(ROUND('מודל כלכלי'!$C$59*(1+0.06)^13,-4)))+(-PV(חישובים!$D$21,((('הנחות עסקה'!$D$72*'הנחות עסקה'!$I$70)-30)/365),,((0.7*(ROUND('מודל כלכלי'!$C$59*(1+0.06)^13,-4)))+(((('הנחות עסקה'!$D$72*'הנחות עסקה'!$I$70)-30)/365)*חישובים!$D$23*(0.7*(ROUND('מודל כלכלי'!$C$59*(1+0.06)^13,-4)))*0.5))))+(-PV(חישובים!$D$21,(('הנחות עסקה'!$D$72*'הנחות עסקה'!$I$70)/365),,((0.1*(ROUND('מודל כלכלי'!$C$59*(1+0.06)^13,-4)))+((('הנחות עסקה'!$D$72*'הנחות עסקה'!$I$70)/365)*חישובים!$D$23*(0.1*(ROUND('מודל כלכלי'!$C$59*(1+0.06)^13,-4)))*0.5)))))+(-PV(חישובים!$D$21/12,(('הנחות עסקה'!$D$72*'הנחות עסקה'!$I$70)/365*12),(-FV('מודל כלכלי'!$C$20,(13+(('הנחות עסקה'!$D$71-'הנחות עסקה'!$D$72)*'הנחות עסקה'!$I$70)/365),,'מודל כלכלי'!$C$53)))))*היוון!$C$26)),ROUND('מודל כלכלי'!$C$59*(1+0.06)^13,-4)))+(ROUND(FV('מודל כלכלי'!$C$17/12,13*12,'מודל כלכלי'!$C$48,'מודל כלכלי'!$C$46),-4))+(ROUND(-'מודל כלכלי'!$C$66*(IF('מודל כלכלי'!$C$26="פליפ",((-PV(חישובים!$D$21/12,(('הנחות עסקה'!$D$72*'הנחות עסקה'!$I$70)/365*12),(-FV('מודל כלכלי'!$C$20,(13+(('הנחות עסקה'!$D$71-'הנחות עסקה'!$D$72)*'הנחות עסקה'!$I$70)/365),,'מודל כלכלי'!$C$53))))+((0.07*(ROUND('מודל כלכלי'!$C$59*(1+0.06)^13,-4)))+(0.13*(ROUND('מודל כלכלי'!$C$59*(1+0.06)^13,-4)))+(-PV(חישובים!$D$21,((('הנחות עסקה'!$D$72*'הנחות עסקה'!$I$70)-30)/365),,((0.7*(ROUND('מודל כלכלי'!$C$59*(1+0.06)^13,-4)))+(((('הנחות עסקה'!$D$72*'הנחות עסקה'!$I$70)-30)/365)*חישובים!$D$23*(0.7*(ROUND('מודל כלכלי'!$C$59*(1+0.06)^13,-4)))*0.5))))+(-PV(חישובים!$D$21,(('הנחות עסקה'!$D$72*'הנחות עסקה'!$I$70)/365),,((0.1*(ROUND('מודל כלכלי'!$C$59*(1+0.06)^13,-4)))+((('הנחות עסקה'!$D$72*'הנחות עסקה'!$I$70)/365)*חישובים!$D$23*(0.1*(ROUND('מודל כלכלי'!$C$59*(1+0.06)^13,-4)))*0.5)))))+(-(((0.07*(ROUND('מודל כלכלי'!$C$59*(1+0.06)^13,-4)))+(0.13*(ROUND('מודל כלכלי'!$C$59*(1+0.06)^13,-4)))+(-PV(חישובים!$D$21,((('הנחות עסקה'!$D$72*'הנחות עסקה'!$I$70)-30)/365),,((0.7*(ROUND('מודל כלכלי'!$C$59*(1+0.06)^13,-4)))+(((('הנחות עסקה'!$D$72*'הנחות עסקה'!$I$70)-30)/365)*חישובים!$D$23*(0.7*(ROUND('מודל כלכלי'!$C$59*(1+0.06)^13,-4)))*0.5))))+(-PV(חישובים!$D$21,(('הנחות עסקה'!$D$72*'הנחות עסקה'!$I$70)/365),,((0.1*(ROUND('מודל כלכלי'!$C$59*(1+0.06)^13,-4)))+((('הנחות עסקה'!$D$72*'הנחות עסקה'!$I$70)/365)*חישובים!$D$23*(0.1*(ROUND('מודל כלכלי'!$C$59*(1+0.06)^13,-4)))*0.5)))))+(-PV(חישובים!$D$21/12,(('הנחות עסקה'!$D$72*'הנחות עסקה'!$I$70)/365*12),(-FV('מודל כלכלי'!$C$20,(13+(('הנחות עסקה'!$D$71-'הנחות עסקה'!$D$72)*'הנחות עסקה'!$I$70)/365),,'מודל כלכלי'!$C$53)))))*היוון!$C$26)),ROUND('מודל כלכלי'!$C$59*(1+0.06)^13,-4)))*'מודל כלכלי'!$C$14-'מודל כלכלי'!$C$68*(IF('מודל כלכלי'!$C$26="פליפ",((-PV(חישובים!$D$21/12,(('הנחות עסקה'!$D$72*'הנחות עסקה'!$I$70)/365*12),(-FV('מודל כלכלי'!$C$20,(13+(('הנחות עסקה'!$D$71-'הנחות עסקה'!$D$72)*'הנחות עסקה'!$I$70)/365),,'מודל כלכלי'!$C$53))))+((0.07*(ROUND('מודל כלכלי'!$C$59*(1+0.06)^13,-4)))+(0.13*(ROUND('מודל כלכלי'!$C$59*(1+0.06)^13,-4)))+(-PV(חישובים!$D$21,((('הנחות עסקה'!$D$72*'הנחות עסקה'!$I$70)-30)/365),,((0.7*(ROUND('מודל כלכלי'!$C$59*(1+0.06)^13,-4)))+(((('הנחות עסקה'!$D$72*'הנחות עסקה'!$I$70)-30)/365)*חישובים!$D$23*(0.7*(ROUND('מודל כלכלי'!$C$59*(1+0.06)^13,-4)))*0.5))))+(-PV(חישובים!$D$21,(('הנחות עסקה'!$D$72*'הנחות עסקה'!$I$70)/365),,((0.1*(ROUND('מודל כלכלי'!$C$59*(1+0.06)^13,-4)))+((('הנחות עסקה'!$D$72*'הנחות עסקה'!$I$70)/365)*חישובים!$D$23*(0.1*(ROUND('מודל כלכלי'!$C$59*(1+0.06)^13,-4)))*0.5)))))+(-(((0.07*(ROUND('מודל כלכלי'!$C$59*(1+0.06)^13,-4)))+(0.13*(ROUND('מודל כלכלי'!$C$59*(1+0.06)^13,-4)))+(-PV(חישובים!$D$21,((('הנחות עסקה'!$D$72*'הנחות עסקה'!$I$70)-30)/365),,((0.7*(ROUND('מודל כלכלי'!$C$59*(1+0.06)^13,-4)))+(((('הנחות עסקה'!$D$72*'הנחות עסקה'!$I$70)-30)/365)*חישובים!$D$23*(0.7*(ROUND('מודל כלכלי'!$C$59*(1+0.06)^13,-4)))*0.5))))+(-PV(חישובים!$D$21,(('הנחות עסקה'!$D$72*'הנחות עסקה'!$I$70)/365),,((0.1*(ROUND('מודל כלכלי'!$C$59*(1+0.06)^13,-4)))+((('הנחות עסקה'!$D$72*'הנחות עסקה'!$I$70)/365)*חישובים!$D$23*(0.1*(ROUND('מודל כלכלי'!$C$59*(1+0.06)^13,-4)))*0.5)))))+(-PV(חישובים!$D$21/12,(('הנחות עסקה'!$D$72*'הנחות עסקה'!$I$70)/365*12),(-FV('מודל כלכלי'!$C$20,(13+(('הנחות עסקה'!$D$71-'הנחות עסקה'!$D$72)*'הנחות עסקה'!$I$70)/365),,'מודל כלכלי'!$C$53)))))*היוון!$C$26)),ROUND('מודל כלכלי'!$C$59*(1+0.06)^13,-4)))*'מודל כלכלי'!$C$14+'מודל כלכלי'!$C$70,-3))+(ROUND(-FV(חישובים!$D$22,13*12,'מודל כלכלי'!$C$55),-3))+(-'מודל כלכלי'!$C$45)+(-MAX(0,(IF('מודל כלכלי'!$C$26="פליפ",((-PV(חישובים!$D$21/12,(('הנחות עסקה'!$D$72*'הנחות עסקה'!$I$70)/365*12),(-FV('מודל כלכלי'!$C$20,(13+(('הנחות עסקה'!$D$71-'הנחות עסקה'!$D$72)*'הנחות עסקה'!$I$70)/365),,'מודל כלכלי'!$C$53))))+((0.07*(ROUND('מודל כלכלי'!$C$59*(1+0.06)^13,-4)))+(0.13*(ROUND('מודל כלכלי'!$C$59*(1+0.06)^13,-4)))+(-PV(חישובים!$D$21,((('הנחות עסקה'!$D$72*'הנחות עסקה'!$I$70)-30)/365),,((0.7*(ROUND('מודל כלכלי'!$C$59*(1+0.06)^13,-4)))+(((('הנחות עסקה'!$D$72*'הנחות עסקה'!$I$70)-30)/365)*חישובים!$D$23*(0.7*(ROUND('מודל כלכלי'!$C$59*(1+0.06)^13,-4)))*0.5))))+(-PV(חישובים!$D$21,(('הנחות עסקה'!$D$72*'הנחות עסקה'!$I$70)/365),,((0.1*(ROUND('מודל כלכלי'!$C$59*(1+0.06)^13,-4)))+((('הנחות עסקה'!$D$72*'הנחות עסקה'!$I$70)/365)*חישובים!$D$23*(0.1*(ROUND('מודל כלכלי'!$C$59*(1+0.06)^13,-4)))*0.5)))))+(-(((0.07*(ROUND('מודל כלכלי'!$C$59*(1+0.06)^13,-4)))+(0.13*(ROUND('מודל כלכלי'!$C$59*(1+0.06)^13,-4)))+(-PV(חישובים!$D$21,((('הנחות עסקה'!$D$72*'הנחות עסקה'!$I$70)-30)/365),,((0.7*(ROUND('מודל כלכלי'!$C$59*(1+0.06)^13,-4)))+(((('הנחות עסקה'!$D$72*'הנחות עסקה'!$I$70)-30)/365)*חישובים!$D$23*(0.7*(ROUND('מודל כלכלי'!$C$59*(1+0.06)^13,-4)))*0.5))))+(-PV(חישובים!$D$21,(('הנחות עסקה'!$D$72*'הנחות עסקה'!$I$70)/365),,((0.1*(ROUND('מודל כלכלי'!$C$59*(1+0.06)^13,-4)))+((('הנחות עסקה'!$D$72*'הנחות עסקה'!$I$70)/365)*חישובים!$D$23*(0.1*(ROUND('מודל כלכלי'!$C$59*(1+0.06)^13,-4)))*0.5)))))+(-PV(חישובים!$D$21/12,(('הנחות עסקה'!$D$72*'הנחות עסקה'!$I$70)/365*12),(-FV('מודל כלכלי'!$C$20,(13+(('הנחות עסקה'!$D$71-'הנחות עסקה'!$D$72)*'הנחות עסקה'!$I$70)/365),,'מודל כלכלי'!$C$53)))))*היוון!$C$26)),ROUND('מודל כלכלי'!$C$59*(1+0.06)^13,-4)))-(חישובים!$D$28*(1+חישובים!$D$29)^13))*0.25),-4)</f>
        <v>4200000</v>
      </c>
    </row>
    <row r="24" spans="2:10" ht="19.5" customHeight="1">
      <c r="B24" s="10" t="s">
        <v>306</v>
      </c>
      <c r="C24" s="10"/>
      <c r="D24" s="10"/>
      <c r="E24" s="10"/>
      <c r="F24" s="10"/>
      <c r="G24" s="10"/>
    </row>
    <row r="25" spans="2:10" ht="15" customHeight="1">
      <c r="B25" s="4" t="s">
        <v>307</v>
      </c>
      <c r="C25" s="4"/>
      <c r="D25" s="4"/>
      <c r="E25" s="4"/>
      <c r="F25" s="4"/>
      <c r="G25" s="4"/>
    </row>
    <row r="26" spans="2:10" ht="15" customHeight="1">
      <c r="B26" s="72" t="s">
        <v>308</v>
      </c>
      <c r="C26" s="74">
        <v>2.5000000000000001E-2</v>
      </c>
      <c r="D26" s="74">
        <v>2.8000000000000001E-2</v>
      </c>
      <c r="E26" s="74">
        <v>3.1E-2</v>
      </c>
      <c r="F26" s="74">
        <v>3.4000000000000002E-2</v>
      </c>
      <c r="G26" s="74">
        <v>3.6999999999999998E-2</v>
      </c>
    </row>
    <row r="27" spans="2:10" ht="15" customHeight="1">
      <c r="B27" s="77">
        <v>3.5000000000000003E-2</v>
      </c>
      <c r="C27" s="24">
        <f>ROUND((ROUND('מודל כלכלי'!$C$13*0.025/12,-2))*'מודל כלכלי'!$C$54-'מודל כלכלי'!$C$21+(PMT(0.035/12,'מודל כלכלי'!$C$18*12,'מודל כלכלי'!$C$46)),-2)</f>
        <v>-3400</v>
      </c>
      <c r="D27" s="24">
        <f>ROUND((ROUND('מודל כלכלי'!$C$13*0.028/12,-2))*'מודל כלכלי'!$C$54-'מודל כלכלי'!$C$21+(PMT(0.035/12,'מודל כלכלי'!$C$18*12,'מודל כלכלי'!$C$46)),-2)</f>
        <v>-2800</v>
      </c>
      <c r="E27" s="24">
        <f>ROUND((ROUND('מודל כלכלי'!$C$13*0.031/12,-2))*'מודל כלכלי'!$C$54-'מודל כלכלי'!$C$21+(PMT(0.035/12,'מודל כלכלי'!$C$18*12,'מודל כלכלי'!$C$46)),-2)</f>
        <v>-2300</v>
      </c>
      <c r="F27" s="24">
        <f>ROUND((ROUND('מודל כלכלי'!$C$13*0.034/12,-2))*'מודל כלכלי'!$C$54-'מודל כלכלי'!$C$21+(PMT(0.035/12,'מודל כלכלי'!$C$18*12,'מודל כלכלי'!$C$46)),-2)</f>
        <v>-1800</v>
      </c>
      <c r="G27" s="24">
        <f>ROUND((ROUND('מודל כלכלי'!$C$13*0.037/12,-2))*'מודל כלכלי'!$C$54-'מודל כלכלי'!$C$21+(PMT(0.035/12,'מודל כלכלי'!$C$18*12,'מודל כלכלי'!$C$46)),-2)</f>
        <v>-1200</v>
      </c>
    </row>
    <row r="28" spans="2:10" ht="15" customHeight="1">
      <c r="B28" s="77">
        <v>0.04</v>
      </c>
      <c r="C28" s="24">
        <f>ROUND((ROUND('מודל כלכלי'!$C$13*0.025/12,-2))*'מודל כלכלי'!$C$54-'מודל כלכלי'!$C$21+(PMT(0.04/12,'מודל כלכלי'!$C$18*12,'מודל כלכלי'!$C$46)),-2)</f>
        <v>-3900</v>
      </c>
      <c r="D28" s="24">
        <f>ROUND((ROUND('מודל כלכלי'!$C$13*0.028/12,-2))*'מודל כלכלי'!$C$54-'מודל כלכלי'!$C$21+(PMT(0.04/12,'מודל כלכלי'!$C$18*12,'מודל כלכלי'!$C$46)),-2)</f>
        <v>-3300</v>
      </c>
      <c r="E28" s="24">
        <f>ROUND((ROUND('מודל כלכלי'!$C$13*0.031/12,-2))*'מודל כלכלי'!$C$54-'מודל כלכלי'!$C$21+(PMT(0.04/12,'מודל כלכלי'!$C$18*12,'מודל כלכלי'!$C$46)),-2)</f>
        <v>-2800</v>
      </c>
      <c r="F28" s="24">
        <f>ROUND((ROUND('מודל כלכלי'!$C$13*0.034/12,-2))*'מודל כלכלי'!$C$54-'מודל כלכלי'!$C$21+(PMT(0.04/12,'מודל כלכלי'!$C$18*12,'מודל כלכלי'!$C$46)),-2)</f>
        <v>-2200</v>
      </c>
      <c r="G28" s="24">
        <f>ROUND((ROUND('מודל כלכלי'!$C$13*0.037/12,-2))*'מודל כלכלי'!$C$54-'מודל כלכלי'!$C$21+(PMT(0.04/12,'מודל כלכלי'!$C$18*12,'מודל כלכלי'!$C$46)),-2)</f>
        <v>-1700</v>
      </c>
    </row>
    <row r="29" spans="2:10" ht="15" customHeight="1">
      <c r="B29" s="77">
        <v>4.4999999999999998E-2</v>
      </c>
      <c r="C29" s="24">
        <f>ROUND((ROUND('מודל כלכלי'!$C$13*0.025/12,-2))*'מודל כלכלי'!$C$54-'מודל כלכלי'!$C$21+(PMT(0.045/12,'מודל כלכלי'!$C$18*12,'מודל כלכלי'!$C$46)),-2)</f>
        <v>-4300</v>
      </c>
      <c r="D29" s="24">
        <f>ROUND((ROUND('מודל כלכלי'!$C$13*0.028/12,-2))*'מודל כלכלי'!$C$54-'מודל כלכלי'!$C$21+(PMT(0.045/12,'מודל כלכלי'!$C$18*12,'מודל כלכלי'!$C$46)),-2)</f>
        <v>-3800</v>
      </c>
      <c r="E29" s="24">
        <f>ROUND((ROUND('מודל כלכלי'!$C$13*0.031/12,-2))*'מודל כלכלי'!$C$54-'מודל כלכלי'!$C$21+(PMT(0.045/12,'מודל כלכלי'!$C$18*12,'מודל כלכלי'!$C$46)),-2)</f>
        <v>-3300</v>
      </c>
      <c r="F29" s="24">
        <f>ROUND((ROUND('מודל כלכלי'!$C$13*0.034/12,-2))*'מודל כלכלי'!$C$54-'מודל כלכלי'!$C$21+(PMT(0.045/12,'מודל כלכלי'!$C$18*12,'מודל כלכלי'!$C$46)),-2)</f>
        <v>-2700</v>
      </c>
      <c r="G29" s="24">
        <f>ROUND((ROUND('מודל כלכלי'!$C$13*0.037/12,-2))*'מודל כלכלי'!$C$54-'מודל כלכלי'!$C$21+(PMT(0.045/12,'מודל כלכלי'!$C$18*12,'מודל כלכלי'!$C$46)),-2)</f>
        <v>-2100</v>
      </c>
    </row>
    <row r="30" spans="2:10" ht="15" customHeight="1">
      <c r="B30" s="77">
        <v>4.9000000000000002E-2</v>
      </c>
      <c r="C30" s="24">
        <f>ROUND((ROUND('מודל כלכלי'!$C$13*0.025/12,-2))*'מודל כלכלי'!$C$54-'מודל כלכלי'!$C$21+(PMT(0.049/12,'מודל כלכלי'!$C$18*12,'מודל כלכלי'!$C$46)),-2)</f>
        <v>-4700</v>
      </c>
      <c r="D30" s="24">
        <f>ROUND((ROUND('מודל כלכלי'!$C$13*0.028/12,-2))*'מודל כלכלי'!$C$54-'מודל כלכלי'!$C$21+(PMT(0.049/12,'מודל כלכלי'!$C$18*12,'מודל כלכלי'!$C$46)),-2)</f>
        <v>-4200</v>
      </c>
      <c r="E30" s="76">
        <f>ROUND((ROUND('מודל כלכלי'!$C$13*0.031/12,-2))*'מודל כלכלי'!$C$54-'מודל כלכלי'!$C$21+(PMT(0.049/12,'מודל כלכלי'!$C$18*12,'מודל כלכלי'!$C$46)),-2)</f>
        <v>-3700</v>
      </c>
      <c r="F30" s="24">
        <f>ROUND((ROUND('מודל כלכלי'!$C$13*0.034/12,-2))*'מודל כלכלי'!$C$54-'מודל כלכלי'!$C$21+(PMT(0.049/12,'מודל כלכלי'!$C$18*12,'מודל כלכלי'!$C$46)),-2)</f>
        <v>-3100</v>
      </c>
      <c r="G30" s="24">
        <f>ROUND((ROUND('מודל כלכלי'!$C$13*0.037/12,-2))*'מודל כלכלי'!$C$54-'מודל כלכלי'!$C$21+(PMT(0.049/12,'מודל כלכלי'!$C$18*12,'מודל כלכלי'!$C$46)),-2)</f>
        <v>-2500</v>
      </c>
    </row>
    <row r="31" spans="2:10" ht="15" customHeight="1">
      <c r="B31" s="77">
        <v>5.5E-2</v>
      </c>
      <c r="C31" s="24">
        <f>ROUND((ROUND('מודל כלכלי'!$C$13*0.025/12,-2))*'מודל כלכלי'!$C$54-'מודל כלכלי'!$C$21+(PMT(0.055/12,'מודל כלכלי'!$C$18*12,'מודל כלכלי'!$C$46)),-2)</f>
        <v>-5400</v>
      </c>
      <c r="D31" s="24">
        <f>ROUND((ROUND('מודל כלכלי'!$C$13*0.028/12,-2))*'מודל כלכלי'!$C$54-'מודל כלכלי'!$C$21+(PMT(0.055/12,'מודל כלכלי'!$C$18*12,'מודל כלכלי'!$C$46)),-2)</f>
        <v>-4800</v>
      </c>
      <c r="E31" s="24">
        <f>ROUND((ROUND('מודל כלכלי'!$C$13*0.031/12,-2))*'מודל כלכלי'!$C$54-'מודל כלכלי'!$C$21+(PMT(0.055/12,'מודל כלכלי'!$C$18*12,'מודל כלכלי'!$C$46)),-2)</f>
        <v>-4300</v>
      </c>
      <c r="F31" s="24">
        <f>ROUND((ROUND('מודל כלכלי'!$C$13*0.034/12,-2))*'מודל כלכלי'!$C$54-'מודל כלכלי'!$C$21+(PMT(0.055/12,'מודל כלכלי'!$C$18*12,'מודל כלכלי'!$C$46)),-2)</f>
        <v>-3700</v>
      </c>
      <c r="G31" s="24">
        <f>ROUND((ROUND('מודל כלכלי'!$C$13*0.037/12,-2))*'מודל כלכלי'!$C$54-'מודל כלכלי'!$C$21+(PMT(0.055/12,'מודל כלכלי'!$C$18*12,'מודל כלכלי'!$C$46)),-2)</f>
        <v>-3200</v>
      </c>
    </row>
    <row r="32" spans="2:10" ht="15" customHeight="1">
      <c r="B32" s="77">
        <v>0.06</v>
      </c>
      <c r="C32" s="24">
        <f>ROUND((ROUND('מודל כלכלי'!$C$13*0.025/12,-2))*'מודל כלכלי'!$C$54-'מודל כלכלי'!$C$21+(PMT(0.06/12,'מודל כלכלי'!$C$18*12,'מודל כלכלי'!$C$46)),-2)</f>
        <v>-5900</v>
      </c>
      <c r="D32" s="24">
        <f>ROUND((ROUND('מודל כלכלי'!$C$13*0.028/12,-2))*'מודל כלכלי'!$C$54-'מודל כלכלי'!$C$21+(PMT(0.06/12,'מודל כלכלי'!$C$18*12,'מודל כלכלי'!$C$46)),-2)</f>
        <v>-5300</v>
      </c>
      <c r="E32" s="24">
        <f>ROUND((ROUND('מודל כלכלי'!$C$13*0.031/12,-2))*'מודל כלכלי'!$C$54-'מודל כלכלי'!$C$21+(PMT(0.06/12,'מודל כלכלי'!$C$18*12,'מודל כלכלי'!$C$46)),-2)</f>
        <v>-4800</v>
      </c>
      <c r="F32" s="24">
        <f>ROUND((ROUND('מודל כלכלי'!$C$13*0.034/12,-2))*'מודל כלכלי'!$C$54-'מודל כלכלי'!$C$21+(PMT(0.06/12,'מודל כלכלי'!$C$18*12,'מודל כלכלי'!$C$46)),-2)</f>
        <v>-4300</v>
      </c>
      <c r="G32" s="24">
        <f>ROUND((ROUND('מודל כלכלי'!$C$13*0.037/12,-2))*'מודל כלכלי'!$C$54-'מודל כלכלי'!$C$21+(PMT(0.06/12,'מודל כלכלי'!$C$18*12,'מודל כלכלי'!$C$46)),-2)</f>
        <v>-3700</v>
      </c>
    </row>
    <row r="33" spans="2:10" ht="15" customHeight="1">
      <c r="B33" s="77">
        <v>6.5000000000000002E-2</v>
      </c>
      <c r="C33" s="24">
        <f>ROUND((ROUND('מודל כלכלי'!$C$13*0.025/12,-2))*'מודל כלכלי'!$C$54-'מודל כלכלי'!$C$21+(PMT(0.065/12,'מודל כלכלי'!$C$18*12,'מודל כלכלי'!$C$46)),-2)</f>
        <v>-6400</v>
      </c>
      <c r="D33" s="24">
        <f>ROUND((ROUND('מודל כלכלי'!$C$13*0.028/12,-2))*'מודל כלכלי'!$C$54-'מודל כלכלי'!$C$21+(PMT(0.065/12,'מודל כלכלי'!$C$18*12,'מודל כלכלי'!$C$46)),-2)</f>
        <v>-5900</v>
      </c>
      <c r="E33" s="24">
        <f>ROUND((ROUND('מודל כלכלי'!$C$13*0.031/12,-2))*'מודל כלכלי'!$C$54-'מודל כלכלי'!$C$21+(PMT(0.065/12,'מודל כלכלי'!$C$18*12,'מודל כלכלי'!$C$46)),-2)</f>
        <v>-5400</v>
      </c>
      <c r="F33" s="24">
        <f>ROUND((ROUND('מודל כלכלי'!$C$13*0.034/12,-2))*'מודל כלכלי'!$C$54-'מודל כלכלי'!$C$21+(PMT(0.065/12,'מודל כלכלי'!$C$18*12,'מודל כלכלי'!$C$46)),-2)</f>
        <v>-4800</v>
      </c>
      <c r="G33" s="24">
        <f>ROUND((ROUND('מודל כלכלי'!$C$13*0.037/12,-2))*'מודל כלכלי'!$C$54-'מודל כלכלי'!$C$21+(PMT(0.065/12,'מודל כלכלי'!$C$18*12,'מודל כלכלי'!$C$46)),-2)</f>
        <v>-4200</v>
      </c>
    </row>
    <row r="35" spans="2:10" ht="19.5" customHeight="1">
      <c r="B35" s="10" t="s">
        <v>309</v>
      </c>
      <c r="C35" s="10"/>
      <c r="D35" s="10"/>
      <c r="E35" s="10"/>
      <c r="F35" s="10"/>
      <c r="G35" s="10"/>
      <c r="H35" s="10"/>
      <c r="I35" s="10"/>
      <c r="J35" s="10"/>
    </row>
    <row r="36" spans="2:10" ht="20.25" customHeight="1">
      <c r="B36" s="4" t="s">
        <v>310</v>
      </c>
      <c r="C36" s="4"/>
      <c r="D36" s="4"/>
      <c r="E36" s="4"/>
      <c r="F36" s="4"/>
      <c r="G36" s="4"/>
      <c r="H36" s="4"/>
      <c r="I36" s="4"/>
      <c r="J36" s="4"/>
    </row>
    <row r="37" spans="2:10" ht="15" customHeight="1">
      <c r="B37" s="72" t="s">
        <v>311</v>
      </c>
      <c r="C37" s="64">
        <v>6</v>
      </c>
      <c r="D37" s="64">
        <v>7</v>
      </c>
      <c r="E37" s="64">
        <v>8</v>
      </c>
      <c r="F37" s="64">
        <v>9</v>
      </c>
      <c r="G37" s="64">
        <v>10</v>
      </c>
      <c r="H37" s="64">
        <v>11</v>
      </c>
      <c r="I37" s="64">
        <v>12</v>
      </c>
      <c r="J37" s="64">
        <v>13</v>
      </c>
    </row>
    <row r="38" spans="2:10" ht="15" customHeight="1">
      <c r="B38" s="74">
        <v>0</v>
      </c>
      <c r="C38" s="59">
        <f>(((ROUND((IF('מודל כלכלי'!$C$26="פליפ",((-PV(חישובים!$D$21/12,(('הנחות עסקה'!$D$72*'הנחות עסקה'!$I$70)/365*12),(-FV('מודל כלכלי'!$C$20,(6+(('הנחות עסקה'!$D$71-'הנחות עסקה'!$D$72)*'הנחות עסקה'!$I$70)/365),,'מודל כלכלי'!$C$53))))+((0.07*(ROUND('מודל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כלכלי'!$C$24)^6,-4)))*0.5)))))+(-PV(חישובים!$D$21/12,(('הנחות עסקה'!$D$72*'הנחות עסקה'!$I$70)/365*12),(-FV('מודל כלכלי'!$C$20,(6+(('הנחות עסקה'!$D$71-'הנחות עסקה'!$D$72)*'הנחות עסקה'!$I$70)/365),,'מודל כלכלי'!$C$53)))))*היוון!$C$26)),ROUND('מודל כלכלי'!$C$59*(1+'מודל כלכלי'!$C$24)^6,-4)))+(ROUND(FV('מודל כלכלי'!$C$17/12,6*12,'מודל כלכלי'!$C$48,'מודל כלכלי'!$C$46),-4))+(ROUND(-'מודל כלכלי'!$C$66*(IF('מודל כלכלי'!$C$26="פליפ",((-PV(חישובים!$D$21/12,(('הנחות עסקה'!$D$72*'הנחות עסקה'!$I$70)/365*12),(-FV('מודל כלכלי'!$C$20,(6+(('הנחות עסקה'!$D$71-'הנחות עסקה'!$D$72)*'הנחות עסקה'!$I$70)/365),,'מודל כלכלי'!$C$53))))+((0.07*(ROUND('מודל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כלכלי'!$C$24)^6,-4)))*0.5)))))+(-PV(חישובים!$D$21/12,(('הנחות עסקה'!$D$72*'הנחות עסקה'!$I$70)/365*12),(-FV('מודל כלכלי'!$C$20,(6+(('הנחות עסקה'!$D$71-'הנחות עסקה'!$D$72)*'הנחות עסקה'!$I$70)/365),,'מודל כלכלי'!$C$53)))))*היוון!$C$26)),ROUND('מודל כלכלי'!$C$59*(1+'מודל כלכלי'!$C$24)^6,-4)))*'מודל כלכלי'!$C$14-'מודל כלכלי'!$C$68*(IF('מודל כלכלי'!$C$26="פליפ",((-PV(חישובים!$D$21/12,(('הנחות עסקה'!$D$72*'הנחות עסקה'!$I$70)/365*12),(-FV('מודל כלכלי'!$C$20,(6+(('הנחות עסקה'!$D$71-'הנחות עסקה'!$D$72)*'הנחות עסקה'!$I$70)/365),,'מודל כלכלי'!$C$53))))+((0.07*(ROUND('מודל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כלכלי'!$C$24)^6,-4)))*0.5)))))+(-PV(חישובים!$D$21/12,(('הנחות עסקה'!$D$72*'הנחות עסקה'!$I$70)/365*12),(-FV('מודל כלכלי'!$C$20,(6+(('הנחות עסקה'!$D$71-'הנחות עסקה'!$D$72)*'הנחות עסקה'!$I$70)/365),,'מודל כלכלי'!$C$53)))))*היוון!$C$26)),ROUND('מודל כלכלי'!$C$59*(1+'מודל כלכלי'!$C$24)^6,-4)))*'מודל כלכלי'!$C$14+'מודל כלכלי'!$C$70,-3))+(ROUND(-FV(חישובים!$D$22,6*12,ROUND(ROUND('מודל כלכלי'!$C$53*(1+0)^((6-1)/2),-2)*'מודל כלכלי'!$C$54-'מודל כלכלי'!$C$21+'מודל כלכלי'!$C$48,-2)),-3))+(-'מודל כלכלי'!$C$45)+(-MAX(0,(IF('מודל כלכלי'!$C$26="פליפ",((-PV(חישובים!$D$21/12,(('הנחות עסקה'!$D$72*'הנחות עסקה'!$I$70)/365*12),(-FV('מודל כלכלי'!$C$20,(6+(('הנחות עסקה'!$D$71-'הנחות עסקה'!$D$72)*'הנחות עסקה'!$I$70)/365),,'מודל כלכלי'!$C$53))))+((0.07*(ROUND('מודל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כלכלי'!$C$24)^6,-4)))*0.5)))))+(-PV(חישובים!$D$21/12,(('הנחות עסקה'!$D$72*'הנחות עסקה'!$I$70)/365*12),(-FV('מודל כלכלי'!$C$20,(6+(('הנחות עסקה'!$D$71-'הנחות עסקה'!$D$72)*'הנחות עסקה'!$I$70)/365),,'מודל כלכלי'!$C$53)))))*היוון!$C$26)),ROUND('מודל כלכלי'!$C$59*(1+'מודל כלכלי'!$C$24)^6,-4)))-(חישובים!$D$28*(1+חישובים!$D$29)^6))*0.25),-4))+'מודל כלכלי'!$C$45)/'מודל כלכלי'!$C$45)^(1/6)-1</f>
        <v>0.23242455975676002</v>
      </c>
      <c r="D38" s="59">
        <f>(((ROUND((IF('מודל כלכלי'!$C$26="פליפ",((-PV(חישובים!$D$21/12,(('הנחות עסקה'!$D$72*'הנחות עסקה'!$I$70)/365*12),(-FV('מודל כלכלי'!$C$20,(7+(('הנחות עסקה'!$D$71-'הנחות עסקה'!$D$72)*'הנחות עסקה'!$I$70)/365),,'מודל כלכלי'!$C$53))))+((0.07*(ROUND('מודל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כלכלי'!$C$24)^7,-4)))*0.5)))))+(-PV(חישובים!$D$21/12,(('הנחות עסקה'!$D$72*'הנחות עסקה'!$I$70)/365*12),(-FV('מודל כלכלי'!$C$20,(7+(('הנחות עסקה'!$D$71-'הנחות עסקה'!$D$72)*'הנחות עסקה'!$I$70)/365),,'מודל כלכלי'!$C$53)))))*היוון!$C$26)),ROUND('מודל כלכלי'!$C$59*(1+'מודל כלכלי'!$C$24)^7,-4)))+(ROUND(FV('מודל כלכלי'!$C$17/12,7*12,'מודל כלכלי'!$C$48,'מודל כלכלי'!$C$46),-4))+(ROUND(-'מודל כלכלי'!$C$66*(IF('מודל כלכלי'!$C$26="פליפ",((-PV(חישובים!$D$21/12,(('הנחות עסקה'!$D$72*'הנחות עסקה'!$I$70)/365*12),(-FV('מודל כלכלי'!$C$20,(7+(('הנחות עסקה'!$D$71-'הנחות עסקה'!$D$72)*'הנחות עסקה'!$I$70)/365),,'מודל כלכלי'!$C$53))))+((0.07*(ROUND('מודל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כלכלי'!$C$24)^7,-4)))*0.5)))))+(-PV(חישובים!$D$21/12,(('הנחות עסקה'!$D$72*'הנחות עסקה'!$I$70)/365*12),(-FV('מודל כלכלי'!$C$20,(7+(('הנחות עסקה'!$D$71-'הנחות עסקה'!$D$72)*'הנחות עסקה'!$I$70)/365),,'מודל כלכלי'!$C$53)))))*היוון!$C$26)),ROUND('מודל כלכלי'!$C$59*(1+'מודל כלכלי'!$C$24)^7,-4)))*'מודל כלכלי'!$C$14-'מודל כלכלי'!$C$68*(IF('מודל כלכלי'!$C$26="פליפ",((-PV(חישובים!$D$21/12,(('הנחות עסקה'!$D$72*'הנחות עסקה'!$I$70)/365*12),(-FV('מודל כלכלי'!$C$20,(7+(('הנחות עסקה'!$D$71-'הנחות עסקה'!$D$72)*'הנחות עסקה'!$I$70)/365),,'מודל כלכלי'!$C$53))))+((0.07*(ROUND('מודל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כלכלי'!$C$24)^7,-4)))*0.5)))))+(-PV(חישובים!$D$21/12,(('הנחות עסקה'!$D$72*'הנחות עסקה'!$I$70)/365*12),(-FV('מודל כלכלי'!$C$20,(7+(('הנחות עסקה'!$D$71-'הנחות עסקה'!$D$72)*'הנחות עסקה'!$I$70)/365),,'מודל כלכלי'!$C$53)))))*היוון!$C$26)),ROUND('מודל כלכלי'!$C$59*(1+'מודל כלכלי'!$C$24)^7,-4)))*'מודל כלכלי'!$C$14+'מודל כלכלי'!$C$70,-3))+(ROUND(-FV(חישובים!$D$22,7*12,ROUND(ROUND('מודל כלכלי'!$C$53*(1+0)^((7-1)/2),-2)*'מודל כלכלי'!$C$54-'מודל כלכלי'!$C$21+'מודל כלכלי'!$C$48,-2)),-3))+(-'מודל כלכלי'!$C$45)+(-MAX(0,(IF('מודל כלכלי'!$C$26="פליפ",((-PV(חישובים!$D$21/12,(('הנחות עסקה'!$D$72*'הנחות עסקה'!$I$70)/365*12),(-FV('מודל כלכלי'!$C$20,(7+(('הנחות עסקה'!$D$71-'הנחות עסקה'!$D$72)*'הנחות עסקה'!$I$70)/365),,'מודל כלכלי'!$C$53))))+((0.07*(ROUND('מודל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כלכלי'!$C$24)^7,-4)))*0.5)))))+(-PV(חישובים!$D$21/12,(('הנחות עסקה'!$D$72*'הנחות עסקה'!$I$70)/365*12),(-FV('מודל כלכלי'!$C$20,(7+(('הנחות עסקה'!$D$71-'הנחות עסקה'!$D$72)*'הנחות עסקה'!$I$70)/365),,'מודל כלכלי'!$C$53)))))*היוון!$C$26)),ROUND('מודל כלכלי'!$C$59*(1+'מודל כלכלי'!$C$24)^7,-4)))-(חישובים!$D$28*(1+חישובים!$D$29)^7))*0.25),-4))+'מודל כלכלי'!$C$45)/'מודל כלכלי'!$C$45)^(1/7)-1</f>
        <v>0.20627625611946754</v>
      </c>
      <c r="E38" s="59">
        <f>(((ROUND((IF('מודל כלכלי'!$C$26="פליפ",((-PV(חישובים!$D$21/12,(('הנחות עסקה'!$D$72*'הנחות עסקה'!$I$70)/365*12),(-FV('מודל כלכלי'!$C$20,(8+(('הנחות עסקה'!$D$71-'הנחות עסקה'!$D$72)*'הנחות עסקה'!$I$70)/365),,'מודל כלכלי'!$C$53))))+((0.07*(ROUND('מודל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כלכלי'!$C$24)^8,-4)))*0.5)))))+(-PV(חישובים!$D$21/12,(('הנחות עסקה'!$D$72*'הנחות עסקה'!$I$70)/365*12),(-FV('מודל כלכלי'!$C$20,(8+(('הנחות עסקה'!$D$71-'הנחות עסקה'!$D$72)*'הנחות עסקה'!$I$70)/365),,'מודל כלכלי'!$C$53)))))*היוון!$C$26)),ROUND('מודל כלכלי'!$C$59*(1+'מודל כלכלי'!$C$24)^8,-4)))+(ROUND(FV('מודל כלכלי'!$C$17/12,8*12,'מודל כלכלי'!$C$48,'מודל כלכלי'!$C$46),-4))+(ROUND(-'מודל כלכלי'!$C$66*(IF('מודל כלכלי'!$C$26="פליפ",((-PV(חישובים!$D$21/12,(('הנחות עסקה'!$D$72*'הנחות עסקה'!$I$70)/365*12),(-FV('מודל כלכלי'!$C$20,(8+(('הנחות עסקה'!$D$71-'הנחות עסקה'!$D$72)*'הנחות עסקה'!$I$70)/365),,'מודל כלכלי'!$C$53))))+((0.07*(ROUND('מודל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כלכלי'!$C$24)^8,-4)))*0.5)))))+(-PV(חישובים!$D$21/12,(('הנחות עסקה'!$D$72*'הנחות עסקה'!$I$70)/365*12),(-FV('מודל כלכלי'!$C$20,(8+(('הנחות עסקה'!$D$71-'הנחות עסקה'!$D$72)*'הנחות עסקה'!$I$70)/365),,'מודל כלכלי'!$C$53)))))*היוון!$C$26)),ROUND('מודל כלכלי'!$C$59*(1+'מודל כלכלי'!$C$24)^8,-4)))*'מודל כלכלי'!$C$14-'מודל כלכלי'!$C$68*(IF('מודל כלכלי'!$C$26="פליפ",((-PV(חישובים!$D$21/12,(('הנחות עסקה'!$D$72*'הנחות עסקה'!$I$70)/365*12),(-FV('מודל כלכלי'!$C$20,(8+(('הנחות עסקה'!$D$71-'הנחות עסקה'!$D$72)*'הנחות עסקה'!$I$70)/365),,'מודל כלכלי'!$C$53))))+((0.07*(ROUND('מודל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כלכלי'!$C$24)^8,-4)))*0.5)))))+(-PV(חישובים!$D$21/12,(('הנחות עסקה'!$D$72*'הנחות עסקה'!$I$70)/365*12),(-FV('מודל כלכלי'!$C$20,(8+(('הנחות עסקה'!$D$71-'הנחות עסקה'!$D$72)*'הנחות עסקה'!$I$70)/365),,'מודל כלכלי'!$C$53)))))*היוון!$C$26)),ROUND('מודל כלכלי'!$C$59*(1+'מודל כלכלי'!$C$24)^8,-4)))*'מודל כלכלי'!$C$14+'מודל כלכלי'!$C$70,-3))+(ROUND(-FV(חישובים!$D$22,8*12,ROUND(ROUND('מודל כלכלי'!$C$53*(1+0)^((8-1)/2),-2)*'מודל כלכלי'!$C$54-'מודל כלכלי'!$C$21+'מודל כלכלי'!$C$48,-2)),-3))+(-'מודל כלכלי'!$C$45)+(-MAX(0,(IF('מודל כלכלי'!$C$26="פליפ",((-PV(חישובים!$D$21/12,(('הנחות עסקה'!$D$72*'הנחות עסקה'!$I$70)/365*12),(-FV('מודל כלכלי'!$C$20,(8+(('הנחות עסקה'!$D$71-'הנחות עסקה'!$D$72)*'הנחות עסקה'!$I$70)/365),,'מודל כלכלי'!$C$53))))+((0.07*(ROUND('מודל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כלכלי'!$C$24)^8,-4)))*0.5)))))+(-PV(חישובים!$D$21/12,(('הנחות עסקה'!$D$72*'הנחות עסקה'!$I$70)/365*12),(-FV('מודל כלכלי'!$C$20,(8+(('הנחות עסקה'!$D$71-'הנחות עסקה'!$D$72)*'הנחות עסקה'!$I$70)/365),,'מודל כלכלי'!$C$53)))))*היוון!$C$26)),ROUND('מודל כלכלי'!$C$59*(1+'מודל כלכלי'!$C$24)^8,-4)))-(חישובים!$D$28*(1+חישובים!$D$29)^8))*0.25),-4))+'מודל כלכלי'!$C$45)/'מודל כלכלי'!$C$45)^(1/8)-1</f>
        <v>0.1865441434931967</v>
      </c>
      <c r="F38" s="59">
        <f>(((ROUND((IF('מודל כלכלי'!$C$26="פליפ",((-PV(חישובים!$D$21/12,(('הנחות עסקה'!$D$72*'הנחות עסקה'!$I$70)/365*12),(-FV('מודל כלכלי'!$C$20,(9+(('הנחות עסקה'!$D$71-'הנחות עסקה'!$D$72)*'הנחות עסקה'!$I$70)/365),,'מודל כלכלי'!$C$53))))+((0.07*(ROUND('מודל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כלכלי'!$C$24)^9,-4)))*0.5)))))+(-PV(חישובים!$D$21/12,(('הנחות עסקה'!$D$72*'הנחות עסקה'!$I$70)/365*12),(-FV('מודל כלכלי'!$C$20,(9+(('הנחות עסקה'!$D$71-'הנחות עסקה'!$D$72)*'הנחות עסקה'!$I$70)/365),,'מודל כלכלי'!$C$53)))))*היוון!$C$26)),ROUND('מודל כלכלי'!$C$59*(1+'מודל כלכלי'!$C$24)^9,-4)))+(ROUND(FV('מודל כלכלי'!$C$17/12,9*12,'מודל כלכלי'!$C$48,'מודל כלכלי'!$C$46),-4))+(ROUND(-'מודל כלכלי'!$C$66*(IF('מודל כלכלי'!$C$26="פליפ",((-PV(חישובים!$D$21/12,(('הנחות עסקה'!$D$72*'הנחות עסקה'!$I$70)/365*12),(-FV('מודל כלכלי'!$C$20,(9+(('הנחות עסקה'!$D$71-'הנחות עסקה'!$D$72)*'הנחות עסקה'!$I$70)/365),,'מודל כלכלי'!$C$53))))+((0.07*(ROUND('מודל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כלכלי'!$C$24)^9,-4)))*0.5)))))+(-PV(חישובים!$D$21/12,(('הנחות עסקה'!$D$72*'הנחות עסקה'!$I$70)/365*12),(-FV('מודל כלכלי'!$C$20,(9+(('הנחות עסקה'!$D$71-'הנחות עסקה'!$D$72)*'הנחות עסקה'!$I$70)/365),,'מודל כלכלי'!$C$53)))))*היוון!$C$26)),ROUND('מודל כלכלי'!$C$59*(1+'מודל כלכלי'!$C$24)^9,-4)))*'מודל כלכלי'!$C$14-'מודל כלכלי'!$C$68*(IF('מודל כלכלי'!$C$26="פליפ",((-PV(חישובים!$D$21/12,(('הנחות עסקה'!$D$72*'הנחות עסקה'!$I$70)/365*12),(-FV('מודל כלכלי'!$C$20,(9+(('הנחות עסקה'!$D$71-'הנחות עסקה'!$D$72)*'הנחות עסקה'!$I$70)/365),,'מודל כלכלי'!$C$53))))+((0.07*(ROUND('מודל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כלכלי'!$C$24)^9,-4)))*0.5)))))+(-PV(חישובים!$D$21/12,(('הנחות עסקה'!$D$72*'הנחות עסקה'!$I$70)/365*12),(-FV('מודל כלכלי'!$C$20,(9+(('הנחות עסקה'!$D$71-'הנחות עסקה'!$D$72)*'הנחות עסקה'!$I$70)/365),,'מודל כלכלי'!$C$53)))))*היוון!$C$26)),ROUND('מודל כלכלי'!$C$59*(1+'מודל כלכלי'!$C$24)^9,-4)))*'מודל כלכלי'!$C$14+'מודל כלכלי'!$C$70,-3))+(ROUND(-FV(חישובים!$D$22,9*12,ROUND(ROUND('מודל כלכלי'!$C$53*(1+0)^((9-1)/2),-2)*'מודל כלכלי'!$C$54-'מודל כלכלי'!$C$21+'מודל כלכלי'!$C$48,-2)),-3))+(-'מודל כלכלי'!$C$45)+(-MAX(0,(IF('מודל כלכלי'!$C$26="פליפ",((-PV(חישובים!$D$21/12,(('הנחות עסקה'!$D$72*'הנחות עסקה'!$I$70)/365*12),(-FV('מודל כלכלי'!$C$20,(9+(('הנחות עסקה'!$D$71-'הנחות עסקה'!$D$72)*'הנחות עסקה'!$I$70)/365),,'מודל כלכלי'!$C$53))))+((0.07*(ROUND('מודל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כלכלי'!$C$24)^9,-4)))*0.5)))))+(-PV(חישובים!$D$21/12,(('הנחות עסקה'!$D$72*'הנחות עסקה'!$I$70)/365*12),(-FV('מודל כלכלי'!$C$20,(9+(('הנחות עסקה'!$D$71-'הנחות עסקה'!$D$72)*'הנחות עסקה'!$I$70)/365),,'מודל כלכלי'!$C$53)))))*היוון!$C$26)),ROUND('מודל כלכלי'!$C$59*(1+'מודל כלכלי'!$C$24)^9,-4)))-(חישובים!$D$28*(1+חישובים!$D$29)^9))*0.25),-4))+'מודל כלכלי'!$C$45)/'מודל כלכלי'!$C$45)^(1/9)-1</f>
        <v>0.17151528745591427</v>
      </c>
      <c r="G38" s="59">
        <f>(((ROUND((IF('מודל כלכלי'!$C$26="פליפ",((-PV(חישובים!$D$21/12,(('הנחות עסקה'!$D$72*'הנחות עסקה'!$I$70)/365*12),(-FV('מודל כלכלי'!$C$20,(10+(('הנחות עסקה'!$D$71-'הנחות עסקה'!$D$72)*'הנחות עסקה'!$I$70)/365),,'מודל כלכלי'!$C$53))))+((0.07*(ROUND('מודל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כלכלי'!$C$24)^10,-4)))*0.5)))))+(-PV(חישובים!$D$21/12,(('הנחות עסקה'!$D$72*'הנחות עסקה'!$I$70)/365*12),(-FV('מודל כלכלי'!$C$20,(10+(('הנחות עסקה'!$D$71-'הנחות עסקה'!$D$72)*'הנחות עסקה'!$I$70)/365),,'מודל כלכלי'!$C$53)))))*היוון!$C$26)),ROUND('מודל כלכלי'!$C$59*(1+'מודל כלכלי'!$C$24)^10,-4)))+(ROUND(FV('מודל כלכלי'!$C$17/12,10*12,'מודל כלכלי'!$C$48,'מודל כלכלי'!$C$46),-4))+(ROUND(-'מודל כלכלי'!$C$66*(IF('מודל כלכלי'!$C$26="פליפ",((-PV(חישובים!$D$21/12,(('הנחות עסקה'!$D$72*'הנחות עסקה'!$I$70)/365*12),(-FV('מודל כלכלי'!$C$20,(10+(('הנחות עסקה'!$D$71-'הנחות עסקה'!$D$72)*'הנחות עסקה'!$I$70)/365),,'מודל כלכלי'!$C$53))))+((0.07*(ROUND('מודל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כלכלי'!$C$24)^10,-4)))*0.5)))))+(-PV(חישובים!$D$21/12,(('הנחות עסקה'!$D$72*'הנחות עסקה'!$I$70)/365*12),(-FV('מודל כלכלי'!$C$20,(10+(('הנחות עסקה'!$D$71-'הנחות עסקה'!$D$72)*'הנחות עסקה'!$I$70)/365),,'מודל כלכלי'!$C$53)))))*היוון!$C$26)),ROUND('מודל כלכלי'!$C$59*(1+'מודל כלכלי'!$C$24)^10,-4)))*'מודל כלכלי'!$C$14-'מודל כלכלי'!$C$68*(IF('מודל כלכלי'!$C$26="פליפ",((-PV(חישובים!$D$21/12,(('הנחות עסקה'!$D$72*'הנחות עסקה'!$I$70)/365*12),(-FV('מודל כלכלי'!$C$20,(10+(('הנחות עסקה'!$D$71-'הנחות עסקה'!$D$72)*'הנחות עסקה'!$I$70)/365),,'מודל כלכלי'!$C$53))))+((0.07*(ROUND('מודל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כלכלי'!$C$24)^10,-4)))*0.5)))))+(-PV(חישובים!$D$21/12,(('הנחות עסקה'!$D$72*'הנחות עסקה'!$I$70)/365*12),(-FV('מודל כלכלי'!$C$20,(10+(('הנחות עסקה'!$D$71-'הנחות עסקה'!$D$72)*'הנחות עסקה'!$I$70)/365),,'מודל כלכלי'!$C$53)))))*היוון!$C$26)),ROUND('מודל כלכלי'!$C$59*(1+'מודל כלכלי'!$C$24)^10,-4)))*'מודל כלכלי'!$C$14+'מודל כלכלי'!$C$70,-3))+(ROUND(-FV(חישובים!$D$22,10*12,ROUND(ROUND('מודל כלכלי'!$C$53*(1+0)^((10-1)/2),-2)*'מודל כלכלי'!$C$54-'מודל כלכלי'!$C$21+'מודל כלכלי'!$C$48,-2)),-3))+(-'מודל כלכלי'!$C$45)+(-MAX(0,(IF('מודל כלכלי'!$C$26="פליפ",((-PV(חישובים!$D$21/12,(('הנחות עסקה'!$D$72*'הנחות עסקה'!$I$70)/365*12),(-FV('מודל כלכלי'!$C$20,(10+(('הנחות עסקה'!$D$71-'הנחות עסקה'!$D$72)*'הנחות עסקה'!$I$70)/365),,'מודל כלכלי'!$C$53))))+((0.07*(ROUND('מודל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כלכלי'!$C$24)^10,-4)))*0.5)))))+(-PV(חישובים!$D$21/12,(('הנחות עסקה'!$D$72*'הנחות עסקה'!$I$70)/365*12),(-FV('מודל כלכלי'!$C$20,(10+(('הנחות עסקה'!$D$71-'הנחות עסקה'!$D$72)*'הנחות עסקה'!$I$70)/365),,'מודל כלכלי'!$C$53)))))*היוון!$C$26)),ROUND('מודל כלכלי'!$C$59*(1+'מודל כלכלי'!$C$24)^10,-4)))-(חישובים!$D$28*(1+חישובים!$D$29)^10))*0.25),-4))+'מודל כלכלי'!$C$45)/'מודל כלכלי'!$C$45)^(1/10)-1</f>
        <v>0.15968175951800734</v>
      </c>
      <c r="H38" s="59">
        <f>(((ROUND((IF('מודל כלכלי'!$C$26="פליפ",((-PV(חישובים!$D$21/12,(('הנחות עסקה'!$D$72*'הנחות עסקה'!$I$70)/365*12),(-FV('מודל כלכלי'!$C$20,(11+(('הנחות עסקה'!$D$71-'הנחות עסקה'!$D$72)*'הנחות עסקה'!$I$70)/365),,'מודל כלכלי'!$C$53))))+((0.07*(ROUND('מודל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כלכלי'!$C$24)^11,-4)))*0.5)))))+(-PV(חישובים!$D$21/12,(('הנחות עסקה'!$D$72*'הנחות עסקה'!$I$70)/365*12),(-FV('מודל כלכלי'!$C$20,(11+(('הנחות עסקה'!$D$71-'הנחות עסקה'!$D$72)*'הנחות עסקה'!$I$70)/365),,'מודל כלכלי'!$C$53)))))*היוון!$C$26)),ROUND('מודל כלכלי'!$C$59*(1+'מודל כלכלי'!$C$24)^11,-4)))+(ROUND(FV('מודל כלכלי'!$C$17/12,11*12,'מודל כלכלי'!$C$48,'מודל כלכלי'!$C$46),-4))+(ROUND(-'מודל כלכלי'!$C$66*(IF('מודל כלכלי'!$C$26="פליפ",((-PV(חישובים!$D$21/12,(('הנחות עסקה'!$D$72*'הנחות עסקה'!$I$70)/365*12),(-FV('מודל כלכלי'!$C$20,(11+(('הנחות עסקה'!$D$71-'הנחות עסקה'!$D$72)*'הנחות עסקה'!$I$70)/365),,'מודל כלכלי'!$C$53))))+((0.07*(ROUND('מודל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כלכלי'!$C$24)^11,-4)))*0.5)))))+(-PV(חישובים!$D$21/12,(('הנחות עסקה'!$D$72*'הנחות עסקה'!$I$70)/365*12),(-FV('מודל כלכלי'!$C$20,(11+(('הנחות עסקה'!$D$71-'הנחות עסקה'!$D$72)*'הנחות עסקה'!$I$70)/365),,'מודל כלכלי'!$C$53)))))*היוון!$C$26)),ROUND('מודל כלכלי'!$C$59*(1+'מודל כלכלי'!$C$24)^11,-4)))*'מודל כלכלי'!$C$14-'מודל כלכלי'!$C$68*(IF('מודל כלכלי'!$C$26="פליפ",((-PV(חישובים!$D$21/12,(('הנחות עסקה'!$D$72*'הנחות עסקה'!$I$70)/365*12),(-FV('מודל כלכלי'!$C$20,(11+(('הנחות עסקה'!$D$71-'הנחות עסקה'!$D$72)*'הנחות עסקה'!$I$70)/365),,'מודל כלכלי'!$C$53))))+((0.07*(ROUND('מודל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כלכלי'!$C$24)^11,-4)))*0.5)))))+(-PV(חישובים!$D$21/12,(('הנחות עסקה'!$D$72*'הנחות עסקה'!$I$70)/365*12),(-FV('מודל כלכלי'!$C$20,(11+(('הנחות עסקה'!$D$71-'הנחות עסקה'!$D$72)*'הנחות עסקה'!$I$70)/365),,'מודל כלכלי'!$C$53)))))*היוון!$C$26)),ROUND('מודל כלכלי'!$C$59*(1+'מודל כלכלי'!$C$24)^11,-4)))*'מודל כלכלי'!$C$14+'מודל כלכלי'!$C$70,-3))+(ROUND(-FV(חישובים!$D$22,11*12,ROUND(ROUND('מודל כלכלי'!$C$53*(1+0)^((11-1)/2),-2)*'מודל כלכלי'!$C$54-'מודל כלכלי'!$C$21+'מודל כלכלי'!$C$48,-2)),-3))+(-'מודל כלכלי'!$C$45)+(-MAX(0,(IF('מודל כלכלי'!$C$26="פליפ",((-PV(חישובים!$D$21/12,(('הנחות עסקה'!$D$72*'הנחות עסקה'!$I$70)/365*12),(-FV('מודל כלכלי'!$C$20,(11+(('הנחות עסקה'!$D$71-'הנחות עסקה'!$D$72)*'הנחות עסקה'!$I$70)/365),,'מודל כלכלי'!$C$53))))+((0.07*(ROUND('מודל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כלכלי'!$C$24)^11,-4)))*0.5)))))+(-PV(חישובים!$D$21/12,(('הנחות עסקה'!$D$72*'הנחות עסקה'!$I$70)/365*12),(-FV('מודל כלכלי'!$C$20,(11+(('הנחות עסקה'!$D$71-'הנחות עסקה'!$D$72)*'הנחות עסקה'!$I$70)/365),,'מודל כלכלי'!$C$53)))))*היוון!$C$26)),ROUND('מודל כלכלי'!$C$59*(1+'מודל כלכלי'!$C$24)^11,-4)))-(חישובים!$D$28*(1+חישובים!$D$29)^11))*0.25),-4))+'מודל כלכלי'!$C$45)/'מודל כלכלי'!$C$45)^(1/11)-1</f>
        <v>0.14942760170306402</v>
      </c>
      <c r="I38" s="59">
        <f>(((ROUND((IF('מודל כלכלי'!$C$26="פליפ",((-PV(חישובים!$D$21/12,(('הנחות עסקה'!$D$72*'הנחות עסקה'!$I$70)/365*12),(-FV('מודל כלכלי'!$C$20,(12+(('הנחות עסקה'!$D$71-'הנחות עסקה'!$D$72)*'הנחות עסקה'!$I$70)/365),,'מודל כלכלי'!$C$53))))+((0.07*(ROUND('מודל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כלכלי'!$C$24)^12,-4)))*0.5)))))+(-PV(חישובים!$D$21/12,(('הנחות עסקה'!$D$72*'הנחות עסקה'!$I$70)/365*12),(-FV('מודל כלכלי'!$C$20,(12+(('הנחות עסקה'!$D$71-'הנחות עסקה'!$D$72)*'הנחות עסקה'!$I$70)/365),,'מודל כלכלי'!$C$53)))))*היוון!$C$26)),ROUND('מודל כלכלי'!$C$59*(1+'מודל כלכלי'!$C$24)^12,-4)))+(ROUND(FV('מודל כלכלי'!$C$17/12,12*12,'מודל כלכלי'!$C$48,'מודל כלכלי'!$C$46),-4))+(ROUND(-'מודל כלכלי'!$C$66*(IF('מודל כלכלי'!$C$26="פליפ",((-PV(חישובים!$D$21/12,(('הנחות עסקה'!$D$72*'הנחות עסקה'!$I$70)/365*12),(-FV('מודל כלכלי'!$C$20,(12+(('הנחות עסקה'!$D$71-'הנחות עסקה'!$D$72)*'הנחות עסקה'!$I$70)/365),,'מודל כלכלי'!$C$53))))+((0.07*(ROUND('מודל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כלכלי'!$C$24)^12,-4)))*0.5)))))+(-PV(חישובים!$D$21/12,(('הנחות עסקה'!$D$72*'הנחות עסקה'!$I$70)/365*12),(-FV('מודל כלכלי'!$C$20,(12+(('הנחות עסקה'!$D$71-'הנחות עסקה'!$D$72)*'הנחות עסקה'!$I$70)/365),,'מודל כלכלי'!$C$53)))))*היוון!$C$26)),ROUND('מודל כלכלי'!$C$59*(1+'מודל כלכלי'!$C$24)^12,-4)))*'מודל כלכלי'!$C$14-'מודל כלכלי'!$C$68*(IF('מודל כלכלי'!$C$26="פליפ",((-PV(חישובים!$D$21/12,(('הנחות עסקה'!$D$72*'הנחות עסקה'!$I$70)/365*12),(-FV('מודל כלכלי'!$C$20,(12+(('הנחות עסקה'!$D$71-'הנחות עסקה'!$D$72)*'הנחות עסקה'!$I$70)/365),,'מודל כלכלי'!$C$53))))+((0.07*(ROUND('מודל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כלכלי'!$C$24)^12,-4)))*0.5)))))+(-PV(חישובים!$D$21/12,(('הנחות עסקה'!$D$72*'הנחות עסקה'!$I$70)/365*12),(-FV('מודל כלכלי'!$C$20,(12+(('הנחות עסקה'!$D$71-'הנחות עסקה'!$D$72)*'הנחות עסקה'!$I$70)/365),,'מודל כלכלי'!$C$53)))))*היוון!$C$26)),ROUND('מודל כלכלי'!$C$59*(1+'מודל כלכלי'!$C$24)^12,-4)))*'מודל כלכלי'!$C$14+'מודל כלכלי'!$C$70,-3))+(ROUND(-FV(חישובים!$D$22,12*12,ROUND(ROUND('מודל כלכלי'!$C$53*(1+0)^((12-1)/2),-2)*'מודל כלכלי'!$C$54-'מודל כלכלי'!$C$21+'מודל כלכלי'!$C$48,-2)),-3))+(-'מודל כלכלי'!$C$45)+(-MAX(0,(IF('מודל כלכלי'!$C$26="פליפ",((-PV(חישובים!$D$21/12,(('הנחות עסקה'!$D$72*'הנחות עסקה'!$I$70)/365*12),(-FV('מודל כלכלי'!$C$20,(12+(('הנחות עסקה'!$D$71-'הנחות עסקה'!$D$72)*'הנחות עסקה'!$I$70)/365),,'מודל כלכלי'!$C$53))))+((0.07*(ROUND('מודל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כלכלי'!$C$24)^12,-4)))*0.5)))))+(-PV(חישובים!$D$21/12,(('הנחות עסקה'!$D$72*'הנחות עסקה'!$I$70)/365*12),(-FV('מודל כלכלי'!$C$20,(12+(('הנחות עסקה'!$D$71-'הנחות עסקה'!$D$72)*'הנחות עסקה'!$I$70)/365),,'מודל כלכלי'!$C$53)))))*היוון!$C$26)),ROUND('מודל כלכלי'!$C$59*(1+'מודל כלכלי'!$C$24)^12,-4)))-(חישובים!$D$28*(1+חישובים!$D$29)^12))*0.25),-4))+'מודל כלכלי'!$C$45)/'מודל כלכלי'!$C$45)^(1/12)-1</f>
        <v>0.14131400729748345</v>
      </c>
      <c r="J38" s="59">
        <f>(((ROUND((IF('מודל כלכלי'!$C$26="פליפ",((-PV(חישובים!$D$21/12,(('הנחות עסקה'!$D$72*'הנחות עסקה'!$I$70)/365*12),(-FV('מודל כלכלי'!$C$20,(13+(('הנחות עסקה'!$D$71-'הנחות עסקה'!$D$72)*'הנחות עסקה'!$I$70)/365),,'מודל כלכלי'!$C$53))))+((0.07*(ROUND('מודל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כלכלי'!$C$24)^13,-4)))*0.5)))))+(-PV(חישובים!$D$21/12,(('הנחות עסקה'!$D$72*'הנחות עסקה'!$I$70)/365*12),(-FV('מודל כלכלי'!$C$20,(13+(('הנחות עסקה'!$D$71-'הנחות עסקה'!$D$72)*'הנחות עסקה'!$I$70)/365),,'מודל כלכלי'!$C$53)))))*היוון!$C$26)),ROUND('מודל כלכלי'!$C$59*(1+'מודל כלכלי'!$C$24)^13,-4)))+(ROUND(FV('מודל כלכלי'!$C$17/12,13*12,'מודל כלכלי'!$C$48,'מודל כלכלי'!$C$46),-4))+(ROUND(-'מודל כלכלי'!$C$66*(IF('מודל כלכלי'!$C$26="פליפ",((-PV(חישובים!$D$21/12,(('הנחות עסקה'!$D$72*'הנחות עסקה'!$I$70)/365*12),(-FV('מודל כלכלי'!$C$20,(13+(('הנחות עסקה'!$D$71-'הנחות עסקה'!$D$72)*'הנחות עסקה'!$I$70)/365),,'מודל כלכלי'!$C$53))))+((0.07*(ROUND('מודל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כלכלי'!$C$24)^13,-4)))*0.5)))))+(-PV(חישובים!$D$21/12,(('הנחות עסקה'!$D$72*'הנחות עסקה'!$I$70)/365*12),(-FV('מודל כלכלי'!$C$20,(13+(('הנחות עסקה'!$D$71-'הנחות עסקה'!$D$72)*'הנחות עסקה'!$I$70)/365),,'מודל כלכלי'!$C$53)))))*היוון!$C$26)),ROUND('מודל כלכלי'!$C$59*(1+'מודל כלכלי'!$C$24)^13,-4)))*'מודל כלכלי'!$C$14-'מודל כלכלי'!$C$68*(IF('מודל כלכלי'!$C$26="פליפ",((-PV(חישובים!$D$21/12,(('הנחות עסקה'!$D$72*'הנחות עסקה'!$I$70)/365*12),(-FV('מודל כלכלי'!$C$20,(13+(('הנחות עסקה'!$D$71-'הנחות עסקה'!$D$72)*'הנחות עסקה'!$I$70)/365),,'מודל כלכלי'!$C$53))))+((0.07*(ROUND('מודל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כלכלי'!$C$24)^13,-4)))*0.5)))))+(-PV(חישובים!$D$21/12,(('הנחות עסקה'!$D$72*'הנחות עסקה'!$I$70)/365*12),(-FV('מודל כלכלי'!$C$20,(13+(('הנחות עסקה'!$D$71-'הנחות עסקה'!$D$72)*'הנחות עסקה'!$I$70)/365),,'מודל כלכלי'!$C$53)))))*היוון!$C$26)),ROUND('מודל כלכלי'!$C$59*(1+'מודל כלכלי'!$C$24)^13,-4)))*'מודל כלכלי'!$C$14+'מודל כלכלי'!$C$70,-3))+(ROUND(-FV(חישובים!$D$22,13*12,ROUND(ROUND('מודל כלכלי'!$C$53*(1+0)^((13-1)/2),-2)*'מודל כלכלי'!$C$54-'מודל כלכלי'!$C$21+'מודל כלכלי'!$C$48,-2)),-3))+(-'מודל כלכלי'!$C$45)+(-MAX(0,(IF('מודל כלכלי'!$C$26="פליפ",((-PV(חישובים!$D$21/12,(('הנחות עסקה'!$D$72*'הנחות עסקה'!$I$70)/365*12),(-FV('מודל כלכלי'!$C$20,(13+(('הנחות עסקה'!$D$71-'הנחות עסקה'!$D$72)*'הנחות עסקה'!$I$70)/365),,'מודל כלכלי'!$C$53))))+((0.07*(ROUND('מודל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כלכלי'!$C$24)^13,-4)))*0.5)))))+(-PV(חישובים!$D$21/12,(('הנחות עסקה'!$D$72*'הנחות עסקה'!$I$70)/365*12),(-FV('מודל כלכלי'!$C$20,(13+(('הנחות עסקה'!$D$71-'הנחות עסקה'!$D$72)*'הנחות עסקה'!$I$70)/365),,'מודל כלכלי'!$C$53)))))*היוון!$C$26)),ROUND('מודל כלכלי'!$C$59*(1+'מודל כלכלי'!$C$24)^13,-4)))-(חישובים!$D$28*(1+חישובים!$D$29)^13))*0.25),-4))+'מודל כלכלי'!$C$45)/'מודל כלכלי'!$C$45)^(1/13)-1</f>
        <v>0.13424968978166496</v>
      </c>
    </row>
    <row r="39" spans="2:10" ht="15" customHeight="1">
      <c r="B39" s="74">
        <v>0.02</v>
      </c>
      <c r="C39" s="59">
        <f>(((ROUND((IF('מודל כלכלי'!$C$26="פליפ",((-PV(חישובים!$D$21/12,(('הנחות עסקה'!$D$72*'הנחות עסקה'!$I$70)/365*12),(-FV('מודל כלכלי'!$C$20,(6+(('הנחות עסקה'!$D$71-'הנחות עסקה'!$D$72)*'הנחות עסקה'!$I$70)/365),,'מודל כלכלי'!$C$53))))+((0.07*(ROUND('מודל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כלכלי'!$C$24)^6,-4)))*0.5)))))+(-PV(חישובים!$D$21/12,(('הנחות עסקה'!$D$72*'הנחות עסקה'!$I$70)/365*12),(-FV('מודל כלכלי'!$C$20,(6+(('הנחות עסקה'!$D$71-'הנחות עסקה'!$D$72)*'הנחות עסקה'!$I$70)/365),,'מודל כלכלי'!$C$53)))))*היוון!$C$26)),ROUND('מודל כלכלי'!$C$59*(1+'מודל כלכלי'!$C$24)^6,-4)))+(ROUND(FV('מודל כלכלי'!$C$17/12,6*12,'מודל כלכלי'!$C$48,'מודל כלכלי'!$C$46),-4))+(ROUND(-'מודל כלכלי'!$C$66*(IF('מודל כלכלי'!$C$26="פליפ",((-PV(חישובים!$D$21/12,(('הנחות עסקה'!$D$72*'הנחות עסקה'!$I$70)/365*12),(-FV('מודל כלכלי'!$C$20,(6+(('הנחות עסקה'!$D$71-'הנחות עסקה'!$D$72)*'הנחות עסקה'!$I$70)/365),,'מודל כלכלי'!$C$53))))+((0.07*(ROUND('מודל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כלכלי'!$C$24)^6,-4)))*0.5)))))+(-PV(חישובים!$D$21/12,(('הנחות עסקה'!$D$72*'הנחות עסקה'!$I$70)/365*12),(-FV('מודל כלכלי'!$C$20,(6+(('הנחות עסקה'!$D$71-'הנחות עסקה'!$D$72)*'הנחות עסקה'!$I$70)/365),,'מודל כלכלי'!$C$53)))))*היוון!$C$26)),ROUND('מודל כלכלי'!$C$59*(1+'מודל כלכלי'!$C$24)^6,-4)))*'מודל כלכלי'!$C$14-'מודל כלכלי'!$C$68*(IF('מודל כלכלי'!$C$26="פליפ",((-PV(חישובים!$D$21/12,(('הנחות עסקה'!$D$72*'הנחות עסקה'!$I$70)/365*12),(-FV('מודל כלכלי'!$C$20,(6+(('הנחות עסקה'!$D$71-'הנחות עסקה'!$D$72)*'הנחות עסקה'!$I$70)/365),,'מודל כלכלי'!$C$53))))+((0.07*(ROUND('מודל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כלכלי'!$C$24)^6,-4)))*0.5)))))+(-PV(חישובים!$D$21/12,(('הנחות עסקה'!$D$72*'הנחות עסקה'!$I$70)/365*12),(-FV('מודל כלכלי'!$C$20,(6+(('הנחות עסקה'!$D$71-'הנחות עסקה'!$D$72)*'הנחות עסקה'!$I$70)/365),,'מודל כלכלי'!$C$53)))))*היוון!$C$26)),ROUND('מודל כלכלי'!$C$59*(1+'מודל כלכלי'!$C$24)^6,-4)))*'מודל כלכלי'!$C$14+'מודל כלכלי'!$C$70,-3))+(ROUND(-FV(חישובים!$D$22,6*12,ROUND(ROUND('מודל כלכלי'!$C$53*(1+0.02)^((6-1)/2),-2)*'מודל כלכלי'!$C$54-'מודל כלכלי'!$C$21+'מודל כלכלי'!$C$48,-2)),-3))+(-'מודל כלכלי'!$C$45)+(-MAX(0,(IF('מודל כלכלי'!$C$26="פליפ",((-PV(חישובים!$D$21/12,(('הנחות עסקה'!$D$72*'הנחות עסקה'!$I$70)/365*12),(-FV('מודל כלכלי'!$C$20,(6+(('הנחות עסקה'!$D$71-'הנחות עסקה'!$D$72)*'הנחות עסקה'!$I$70)/365),,'מודל כלכלי'!$C$53))))+((0.07*(ROUND('מודל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כלכלי'!$C$24)^6,-4)))*0.5)))))+(-PV(חישובים!$D$21/12,(('הנחות עסקה'!$D$72*'הנחות עסקה'!$I$70)/365*12),(-FV('מודל כלכלי'!$C$20,(6+(('הנחות עסקה'!$D$71-'הנחות עסקה'!$D$72)*'הנחות עסקה'!$I$70)/365),,'מודל כלכלי'!$C$53)))))*היוון!$C$26)),ROUND('מודל כלכלי'!$C$59*(1+'מודל כלכלי'!$C$24)^6,-4)))-(חישובים!$D$28*(1+חישובים!$D$29)^6))*0.25),-4))+'מודל כלכלי'!$C$45)/'מודל כלכלי'!$C$45)^(1/6)-1</f>
        <v>0.23507902402979797</v>
      </c>
      <c r="D39" s="59">
        <f>(((ROUND((IF('מודל כלכלי'!$C$26="פליפ",((-PV(חישובים!$D$21/12,(('הנחות עסקה'!$D$72*'הנחות עסקה'!$I$70)/365*12),(-FV('מודל כלכלי'!$C$20,(7+(('הנחות עסקה'!$D$71-'הנחות עסקה'!$D$72)*'הנחות עסקה'!$I$70)/365),,'מודל כלכלי'!$C$53))))+((0.07*(ROUND('מודל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כלכלי'!$C$24)^7,-4)))*0.5)))))+(-PV(חישובים!$D$21/12,(('הנחות עסקה'!$D$72*'הנחות עסקה'!$I$70)/365*12),(-FV('מודל כלכלי'!$C$20,(7+(('הנחות עסקה'!$D$71-'הנחות עסקה'!$D$72)*'הנחות עסקה'!$I$70)/365),,'מודל כלכלי'!$C$53)))))*היוון!$C$26)),ROUND('מודל כלכלי'!$C$59*(1+'מודל כלכלי'!$C$24)^7,-4)))+(ROUND(FV('מודל כלכלי'!$C$17/12,7*12,'מודל כלכלי'!$C$48,'מודל כלכלי'!$C$46),-4))+(ROUND(-'מודל כלכלי'!$C$66*(IF('מודל כלכלי'!$C$26="פליפ",((-PV(חישובים!$D$21/12,(('הנחות עסקה'!$D$72*'הנחות עסקה'!$I$70)/365*12),(-FV('מודל כלכלי'!$C$20,(7+(('הנחות עסקה'!$D$71-'הנחות עסקה'!$D$72)*'הנחות עסקה'!$I$70)/365),,'מודל כלכלי'!$C$53))))+((0.07*(ROUND('מודל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כלכלי'!$C$24)^7,-4)))*0.5)))))+(-PV(חישובים!$D$21/12,(('הנחות עסקה'!$D$72*'הנחות עסקה'!$I$70)/365*12),(-FV('מודל כלכלי'!$C$20,(7+(('הנחות עסקה'!$D$71-'הנחות עסקה'!$D$72)*'הנחות עסקה'!$I$70)/365),,'מודל כלכלי'!$C$53)))))*היוון!$C$26)),ROUND('מודל כלכלי'!$C$59*(1+'מודל כלכלי'!$C$24)^7,-4)))*'מודל כלכלי'!$C$14-'מודל כלכלי'!$C$68*(IF('מודל כלכלי'!$C$26="פליפ",((-PV(חישובים!$D$21/12,(('הנחות עסקה'!$D$72*'הנחות עסקה'!$I$70)/365*12),(-FV('מודל כלכלי'!$C$20,(7+(('הנחות עסקה'!$D$71-'הנחות עסקה'!$D$72)*'הנחות עסקה'!$I$70)/365),,'מודל כלכלי'!$C$53))))+((0.07*(ROUND('מודל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כלכלי'!$C$24)^7,-4)))*0.5)))))+(-PV(חישובים!$D$21/12,(('הנחות עסקה'!$D$72*'הנחות עסקה'!$I$70)/365*12),(-FV('מודל כלכלי'!$C$20,(7+(('הנחות עסקה'!$D$71-'הנחות עסקה'!$D$72)*'הנחות עסקה'!$I$70)/365),,'מודל כלכלי'!$C$53)))))*היוון!$C$26)),ROUND('מודל כלכלי'!$C$59*(1+'מודל כלכלי'!$C$24)^7,-4)))*'מודל כלכלי'!$C$14+'מודל כלכלי'!$C$70,-3))+(ROUND(-FV(חישובים!$D$22,7*12,ROUND(ROUND('מודל כלכלי'!$C$53*(1+0.02)^((7-1)/2),-2)*'מודל כלכלי'!$C$54-'מודל כלכלי'!$C$21+'מודל כלכלי'!$C$48,-2)),-3))+(-'מודל כלכלי'!$C$45)+(-MAX(0,(IF('מודל כלכלי'!$C$26="פליפ",((-PV(חישובים!$D$21/12,(('הנחות עסקה'!$D$72*'הנחות עסקה'!$I$70)/365*12),(-FV('מודל כלכלי'!$C$20,(7+(('הנחות עסקה'!$D$71-'הנחות עסקה'!$D$72)*'הנחות עסקה'!$I$70)/365),,'מודל כלכלי'!$C$53))))+((0.07*(ROUND('מודל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כלכלי'!$C$24)^7,-4)))*0.5)))))+(-PV(חישובים!$D$21/12,(('הנחות עסקה'!$D$72*'הנחות עסקה'!$I$70)/365*12),(-FV('מודל כלכלי'!$C$20,(7+(('הנחות עסקה'!$D$71-'הנחות עסקה'!$D$72)*'הנחות עסקה'!$I$70)/365),,'מודל כלכלי'!$C$53)))))*היוון!$C$26)),ROUND('מודל כלכלי'!$C$59*(1+'מודל כלכלי'!$C$24)^7,-4)))-(חישובים!$D$28*(1+חישובים!$D$29)^7))*0.25),-4))+'מודל כלכלי'!$C$45)/'מודל כלכלי'!$C$45)^(1/7)-1</f>
        <v>0.20907142866558015</v>
      </c>
      <c r="E39" s="59">
        <f>(((ROUND((IF('מודל כלכלי'!$C$26="פליפ",((-PV(חישובים!$D$21/12,(('הנחות עסקה'!$D$72*'הנחות עסקה'!$I$70)/365*12),(-FV('מודל כלכלי'!$C$20,(8+(('הנחות עסקה'!$D$71-'הנחות עסקה'!$D$72)*'הנחות עסקה'!$I$70)/365),,'מודל כלכלי'!$C$53))))+((0.07*(ROUND('מודל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כלכלי'!$C$24)^8,-4)))*0.5)))))+(-PV(חישובים!$D$21/12,(('הנחות עסקה'!$D$72*'הנחות עסקה'!$I$70)/365*12),(-FV('מודל כלכלי'!$C$20,(8+(('הנחות עסקה'!$D$71-'הנחות עסקה'!$D$72)*'הנחות עסקה'!$I$70)/365),,'מודל כלכלי'!$C$53)))))*היוון!$C$26)),ROUND('מודל כלכלי'!$C$59*(1+'מודל כלכלי'!$C$24)^8,-4)))+(ROUND(FV('מודל כלכלי'!$C$17/12,8*12,'מודל כלכלי'!$C$48,'מודל כלכלי'!$C$46),-4))+(ROUND(-'מודל כלכלי'!$C$66*(IF('מודל כלכלי'!$C$26="פליפ",((-PV(חישובים!$D$21/12,(('הנחות עסקה'!$D$72*'הנחות עסקה'!$I$70)/365*12),(-FV('מודל כלכלי'!$C$20,(8+(('הנחות עסקה'!$D$71-'הנחות עסקה'!$D$72)*'הנחות עסקה'!$I$70)/365),,'מודל כלכלי'!$C$53))))+((0.07*(ROUND('מודל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כלכלי'!$C$24)^8,-4)))*0.5)))))+(-PV(חישובים!$D$21/12,(('הנחות עסקה'!$D$72*'הנחות עסקה'!$I$70)/365*12),(-FV('מודל כלכלי'!$C$20,(8+(('הנחות עסקה'!$D$71-'הנחות עסקה'!$D$72)*'הנחות עסקה'!$I$70)/365),,'מודל כלכלי'!$C$53)))))*היוון!$C$26)),ROUND('מודל כלכלי'!$C$59*(1+'מודל כלכלי'!$C$24)^8,-4)))*'מודל כלכלי'!$C$14-'מודל כלכלי'!$C$68*(IF('מודל כלכלי'!$C$26="פליפ",((-PV(חישובים!$D$21/12,(('הנחות עסקה'!$D$72*'הנחות עסקה'!$I$70)/365*12),(-FV('מודל כלכלי'!$C$20,(8+(('הנחות עסקה'!$D$71-'הנחות עסקה'!$D$72)*'הנחות עסקה'!$I$70)/365),,'מודל כלכלי'!$C$53))))+((0.07*(ROUND('מודל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כלכלי'!$C$24)^8,-4)))*0.5)))))+(-PV(חישובים!$D$21/12,(('הנחות עסקה'!$D$72*'הנחות עסקה'!$I$70)/365*12),(-FV('מודל כלכלי'!$C$20,(8+(('הנחות עסקה'!$D$71-'הנחות עסקה'!$D$72)*'הנחות עסקה'!$I$70)/365),,'מודל כלכלי'!$C$53)))))*היוון!$C$26)),ROUND('מודל כלכלי'!$C$59*(1+'מודל כלכלי'!$C$24)^8,-4)))*'מודל כלכלי'!$C$14+'מודל כלכלי'!$C$70,-3))+(ROUND(-FV(חישובים!$D$22,8*12,ROUND(ROUND('מודל כלכלי'!$C$53*(1+0.02)^((8-1)/2),-2)*'מודל כלכלי'!$C$54-'מודל כלכלי'!$C$21+'מודל כלכלי'!$C$48,-2)),-3))+(-'מודל כלכלי'!$C$45)+(-MAX(0,(IF('מודל כלכלי'!$C$26="פליפ",((-PV(חישובים!$D$21/12,(('הנחות עסקה'!$D$72*'הנחות עסקה'!$I$70)/365*12),(-FV('מודל כלכלי'!$C$20,(8+(('הנחות עסקה'!$D$71-'הנחות עסקה'!$D$72)*'הנחות עסקה'!$I$70)/365),,'מודל כלכלי'!$C$53))))+((0.07*(ROUND('מודל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כלכלי'!$C$24)^8,-4)))*0.5)))))+(-PV(חישובים!$D$21/12,(('הנחות עסקה'!$D$72*'הנחות עסקה'!$I$70)/365*12),(-FV('מודל כלכלי'!$C$20,(8+(('הנחות עסקה'!$D$71-'הנחות עסקה'!$D$72)*'הנחות עסקה'!$I$70)/365),,'מודל כלכלי'!$C$53)))))*היוון!$C$26)),ROUND('מודל כלכלי'!$C$59*(1+'מודל כלכלי'!$C$24)^8,-4)))-(חישובים!$D$28*(1+חישובים!$D$29)^8))*0.25),-4))+'מודל כלכלי'!$C$45)/'מודל כלכלי'!$C$45)^(1/8)-1</f>
        <v>0.18938467235157508</v>
      </c>
      <c r="F39" s="59">
        <f>(((ROUND((IF('מודל כלכלי'!$C$26="פליפ",((-PV(חישובים!$D$21/12,(('הנחות עסקה'!$D$72*'הנחות עסקה'!$I$70)/365*12),(-FV('מודל כלכלי'!$C$20,(9+(('הנחות עסקה'!$D$71-'הנחות עסקה'!$D$72)*'הנחות עסקה'!$I$70)/365),,'מודל כלכלי'!$C$53))))+((0.07*(ROUND('מודל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כלכלי'!$C$24)^9,-4)))*0.5)))))+(-PV(חישובים!$D$21/12,(('הנחות עסקה'!$D$72*'הנחות עסקה'!$I$70)/365*12),(-FV('מודל כלכלי'!$C$20,(9+(('הנחות עסקה'!$D$71-'הנחות עסקה'!$D$72)*'הנחות עסקה'!$I$70)/365),,'מודל כלכלי'!$C$53)))))*היוון!$C$26)),ROUND('מודל כלכלי'!$C$59*(1+'מודל כלכלי'!$C$24)^9,-4)))+(ROUND(FV('מודל כלכלי'!$C$17/12,9*12,'מודל כלכלי'!$C$48,'מודל כלכלי'!$C$46),-4))+(ROUND(-'מודל כלכלי'!$C$66*(IF('מודל כלכלי'!$C$26="פליפ",((-PV(חישובים!$D$21/12,(('הנחות עסקה'!$D$72*'הנחות עסקה'!$I$70)/365*12),(-FV('מודל כלכלי'!$C$20,(9+(('הנחות עסקה'!$D$71-'הנחות עסקה'!$D$72)*'הנחות עסקה'!$I$70)/365),,'מודל כלכלי'!$C$53))))+((0.07*(ROUND('מודל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כלכלי'!$C$24)^9,-4)))*0.5)))))+(-PV(חישובים!$D$21/12,(('הנחות עסקה'!$D$72*'הנחות עסקה'!$I$70)/365*12),(-FV('מודל כלכלי'!$C$20,(9+(('הנחות עסקה'!$D$71-'הנחות עסקה'!$D$72)*'הנחות עסקה'!$I$70)/365),,'מודל כלכלי'!$C$53)))))*היוון!$C$26)),ROUND('מודל כלכלי'!$C$59*(1+'מודל כלכלי'!$C$24)^9,-4)))*'מודל כלכלי'!$C$14-'מודל כלכלי'!$C$68*(IF('מודל כלכלי'!$C$26="פליפ",((-PV(חישובים!$D$21/12,(('הנחות עסקה'!$D$72*'הנחות עסקה'!$I$70)/365*12),(-FV('מודל כלכלי'!$C$20,(9+(('הנחות עסקה'!$D$71-'הנחות עסקה'!$D$72)*'הנחות עסקה'!$I$70)/365),,'מודל כלכלי'!$C$53))))+((0.07*(ROUND('מודל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כלכלי'!$C$24)^9,-4)))*0.5)))))+(-PV(חישובים!$D$21/12,(('הנחות עסקה'!$D$72*'הנחות עסקה'!$I$70)/365*12),(-FV('מודל כלכלי'!$C$20,(9+(('הנחות עסקה'!$D$71-'הנחות עסקה'!$D$72)*'הנחות עסקה'!$I$70)/365),,'מודל כלכלי'!$C$53)))))*היוון!$C$26)),ROUND('מודל כלכלי'!$C$59*(1+'מודל כלכלי'!$C$24)^9,-4)))*'מודל כלכלי'!$C$14+'מודל כלכלי'!$C$70,-3))+(ROUND(-FV(חישובים!$D$22,9*12,ROUND(ROUND('מודל כלכלי'!$C$53*(1+0.02)^((9-1)/2),-2)*'מודל כלכלי'!$C$54-'מודל כלכלי'!$C$21+'מודל כלכלי'!$C$48,-2)),-3))+(-'מודל כלכלי'!$C$45)+(-MAX(0,(IF('מודל כלכלי'!$C$26="פליפ",((-PV(חישובים!$D$21/12,(('הנחות עסקה'!$D$72*'הנחות עסקה'!$I$70)/365*12),(-FV('מודל כלכלי'!$C$20,(9+(('הנחות עסקה'!$D$71-'הנחות עסקה'!$D$72)*'הנחות עסקה'!$I$70)/365),,'מודל כלכלי'!$C$53))))+((0.07*(ROUND('מודל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כלכלי'!$C$24)^9,-4)))*0.5)))))+(-PV(חישובים!$D$21/12,(('הנחות עסקה'!$D$72*'הנחות עסקה'!$I$70)/365*12),(-FV('מודל כלכלי'!$C$20,(9+(('הנחות עסקה'!$D$71-'הנחות עסקה'!$D$72)*'הנחות עסקה'!$I$70)/365),,'מודל כלכלי'!$C$53)))))*היוון!$C$26)),ROUND('מודל כלכלי'!$C$59*(1+'מודל כלכלי'!$C$24)^9,-4)))-(חישובים!$D$28*(1+חישובים!$D$29)^9))*0.25),-4))+'מודל כלכלי'!$C$45)/'מודל כלכלי'!$C$45)^(1/9)-1</f>
        <v>0.17480484081856051</v>
      </c>
      <c r="G39" s="59">
        <f>(((ROUND((IF('מודל כלכלי'!$C$26="פליפ",((-PV(חישובים!$D$21/12,(('הנחות עסקה'!$D$72*'הנחות עסקה'!$I$70)/365*12),(-FV('מודל כלכלי'!$C$20,(10+(('הנחות עסקה'!$D$71-'הנחות עסקה'!$D$72)*'הנחות עסקה'!$I$70)/365),,'מודל כלכלי'!$C$53))))+((0.07*(ROUND('מודל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כלכלי'!$C$24)^10,-4)))*0.5)))))+(-PV(חישובים!$D$21/12,(('הנחות עסקה'!$D$72*'הנחות עסקה'!$I$70)/365*12),(-FV('מודל כלכלי'!$C$20,(10+(('הנחות עסקה'!$D$71-'הנחות עסקה'!$D$72)*'הנחות עסקה'!$I$70)/365),,'מודל כלכלי'!$C$53)))))*היוון!$C$26)),ROUND('מודל כלכלי'!$C$59*(1+'מודל כלכלי'!$C$24)^10,-4)))+(ROUND(FV('מודל כלכלי'!$C$17/12,10*12,'מודל כלכלי'!$C$48,'מודל כלכלי'!$C$46),-4))+(ROUND(-'מודל כלכלי'!$C$66*(IF('מודל כלכלי'!$C$26="פליפ",((-PV(חישובים!$D$21/12,(('הנחות עסקה'!$D$72*'הנחות עסקה'!$I$70)/365*12),(-FV('מודל כלכלי'!$C$20,(10+(('הנחות עסקה'!$D$71-'הנחות עסקה'!$D$72)*'הנחות עסקה'!$I$70)/365),,'מודל כלכלי'!$C$53))))+((0.07*(ROUND('מודל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כלכלי'!$C$24)^10,-4)))*0.5)))))+(-PV(חישובים!$D$21/12,(('הנחות עסקה'!$D$72*'הנחות עסקה'!$I$70)/365*12),(-FV('מודל כלכלי'!$C$20,(10+(('הנחות עסקה'!$D$71-'הנחות עסקה'!$D$72)*'הנחות עסקה'!$I$70)/365),,'מודל כלכלי'!$C$53)))))*היוון!$C$26)),ROUND('מודל כלכלי'!$C$59*(1+'מודל כלכלי'!$C$24)^10,-4)))*'מודל כלכלי'!$C$14-'מודל כלכלי'!$C$68*(IF('מודל כלכלי'!$C$26="פליפ",((-PV(חישובים!$D$21/12,(('הנחות עסקה'!$D$72*'הנחות עסקה'!$I$70)/365*12),(-FV('מודל כלכלי'!$C$20,(10+(('הנחות עסקה'!$D$71-'הנחות עסקה'!$D$72)*'הנחות עסקה'!$I$70)/365),,'מודל כלכלי'!$C$53))))+((0.07*(ROUND('מודל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כלכלי'!$C$24)^10,-4)))*0.5)))))+(-PV(חישובים!$D$21/12,(('הנחות עסקה'!$D$72*'הנחות עסקה'!$I$70)/365*12),(-FV('מודל כלכלי'!$C$20,(10+(('הנחות עסקה'!$D$71-'הנחות עסקה'!$D$72)*'הנחות עסקה'!$I$70)/365),,'מודל כלכלי'!$C$53)))))*היוון!$C$26)),ROUND('מודל כלכלי'!$C$59*(1+'מודל כלכלי'!$C$24)^10,-4)))*'מודל כלכלי'!$C$14+'מודל כלכלי'!$C$70,-3))+(ROUND(-FV(חישובים!$D$22,10*12,ROUND(ROUND('מודל כלכלי'!$C$53*(1+0.02)^((10-1)/2),-2)*'מודל כלכלי'!$C$54-'מודל כלכלי'!$C$21+'מודל כלכלי'!$C$48,-2)),-3))+(-'מודל כלכלי'!$C$45)+(-MAX(0,(IF('מודל כלכלי'!$C$26="פליפ",((-PV(חישובים!$D$21/12,(('הנחות עסקה'!$D$72*'הנחות עסקה'!$I$70)/365*12),(-FV('מודל כלכלי'!$C$20,(10+(('הנחות עסקה'!$D$71-'הנחות עסקה'!$D$72)*'הנחות עסקה'!$I$70)/365),,'מודל כלכלי'!$C$53))))+((0.07*(ROUND('מודל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כלכלי'!$C$24)^10,-4)))*0.5)))))+(-PV(חישובים!$D$21/12,(('הנחות עסקה'!$D$72*'הנחות עסקה'!$I$70)/365*12),(-FV('מודל כלכלי'!$C$20,(10+(('הנחות עסקה'!$D$71-'הנחות עסקה'!$D$72)*'הנחות עסקה'!$I$70)/365),,'מודל כלכלי'!$C$53)))))*היוון!$C$26)),ROUND('מודל כלכלי'!$C$59*(1+'מודל כלכלי'!$C$24)^10,-4)))-(חישובים!$D$28*(1+חישובים!$D$29)^10))*0.25),-4))+'מודל כלכלי'!$C$45)/'מודל כלכלי'!$C$45)^(1/10)-1</f>
        <v>0.16245203508300032</v>
      </c>
      <c r="H39" s="59">
        <f>(((ROUND((IF('מודל כלכלי'!$C$26="פליפ",((-PV(חישובים!$D$21/12,(('הנחות עסקה'!$D$72*'הנחות עסקה'!$I$70)/365*12),(-FV('מודל כלכלי'!$C$20,(11+(('הנחות עסקה'!$D$71-'הנחות עסקה'!$D$72)*'הנחות עסקה'!$I$70)/365),,'מודל כלכלי'!$C$53))))+((0.07*(ROUND('מודל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כלכלי'!$C$24)^11,-4)))*0.5)))))+(-PV(חישובים!$D$21/12,(('הנחות עסקה'!$D$72*'הנחות עסקה'!$I$70)/365*12),(-FV('מודל כלכלי'!$C$20,(11+(('הנחות עסקה'!$D$71-'הנחות עסקה'!$D$72)*'הנחות עסקה'!$I$70)/365),,'מודל כלכלי'!$C$53)))))*היוון!$C$26)),ROUND('מודל כלכלי'!$C$59*(1+'מודל כלכלי'!$C$24)^11,-4)))+(ROUND(FV('מודל כלכלי'!$C$17/12,11*12,'מודל כלכלי'!$C$48,'מודל כלכלי'!$C$46),-4))+(ROUND(-'מודל כלכלי'!$C$66*(IF('מודל כלכלי'!$C$26="פליפ",((-PV(חישובים!$D$21/12,(('הנחות עסקה'!$D$72*'הנחות עסקה'!$I$70)/365*12),(-FV('מודל כלכלי'!$C$20,(11+(('הנחות עסקה'!$D$71-'הנחות עסקה'!$D$72)*'הנחות עסקה'!$I$70)/365),,'מודל כלכלי'!$C$53))))+((0.07*(ROUND('מודל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כלכלי'!$C$24)^11,-4)))*0.5)))))+(-PV(חישובים!$D$21/12,(('הנחות עסקה'!$D$72*'הנחות עסקה'!$I$70)/365*12),(-FV('מודל כלכלי'!$C$20,(11+(('הנחות עסקה'!$D$71-'הנחות עסקה'!$D$72)*'הנחות עסקה'!$I$70)/365),,'מודל כלכלי'!$C$53)))))*היוון!$C$26)),ROUND('מודל כלכלי'!$C$59*(1+'מודל כלכלי'!$C$24)^11,-4)))*'מודל כלכלי'!$C$14-'מודל כלכלי'!$C$68*(IF('מודל כלכלי'!$C$26="פליפ",((-PV(חישובים!$D$21/12,(('הנחות עסקה'!$D$72*'הנחות עסקה'!$I$70)/365*12),(-FV('מודל כלכלי'!$C$20,(11+(('הנחות עסקה'!$D$71-'הנחות עסקה'!$D$72)*'הנחות עסקה'!$I$70)/365),,'מודל כלכלי'!$C$53))))+((0.07*(ROUND('מודל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כלכלי'!$C$24)^11,-4)))*0.5)))))+(-PV(חישובים!$D$21/12,(('הנחות עסקה'!$D$72*'הנחות עסקה'!$I$70)/365*12),(-FV('מודל כלכלי'!$C$20,(11+(('הנחות עסקה'!$D$71-'הנחות עסקה'!$D$72)*'הנחות עסקה'!$I$70)/365),,'מודל כלכלי'!$C$53)))))*היוון!$C$26)),ROUND('מודל כלכלי'!$C$59*(1+'מודל כלכלי'!$C$24)^11,-4)))*'מודל כלכלי'!$C$14+'מודל כלכלי'!$C$70,-3))+(ROUND(-FV(חישובים!$D$22,11*12,ROUND(ROUND('מודל כלכלי'!$C$53*(1+0.02)^((11-1)/2),-2)*'מודל כלכלי'!$C$54-'מודל כלכלי'!$C$21+'מודל כלכלי'!$C$48,-2)),-3))+(-'מודל כלכלי'!$C$45)+(-MAX(0,(IF('מודל כלכלי'!$C$26="פליפ",((-PV(חישובים!$D$21/12,(('הנחות עסקה'!$D$72*'הנחות עסקה'!$I$70)/365*12),(-FV('מודל כלכלי'!$C$20,(11+(('הנחות עסקה'!$D$71-'הנחות עסקה'!$D$72)*'הנחות עסקה'!$I$70)/365),,'מודל כלכלי'!$C$53))))+((0.07*(ROUND('מודל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כלכלי'!$C$24)^11,-4)))*0.5)))))+(-PV(חישובים!$D$21/12,(('הנחות עסקה'!$D$72*'הנחות עסקה'!$I$70)/365*12),(-FV('מודל כלכלי'!$C$20,(11+(('הנחות עסקה'!$D$71-'הנחות עסקה'!$D$72)*'הנחות עסקה'!$I$70)/365),,'מודל כלכלי'!$C$53)))))*היוון!$C$26)),ROUND('מודל כלכלי'!$C$59*(1+'מודל כלכלי'!$C$24)^11,-4)))-(חישובים!$D$28*(1+חישובים!$D$29)^11))*0.25),-4))+'מודל כלכלי'!$C$45)/'מודל כלכלי'!$C$45)^(1/11)-1</f>
        <v>0.15313707465303517</v>
      </c>
      <c r="I39" s="59">
        <f>(((ROUND((IF('מודל כלכלי'!$C$26="פליפ",((-PV(חישובים!$D$21/12,(('הנחות עסקה'!$D$72*'הנחות עסקה'!$I$70)/365*12),(-FV('מודל כלכלי'!$C$20,(12+(('הנחות עסקה'!$D$71-'הנחות עסקה'!$D$72)*'הנחות עסקה'!$I$70)/365),,'מודל כלכלי'!$C$53))))+((0.07*(ROUND('מודל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כלכלי'!$C$24)^12,-4)))*0.5)))))+(-PV(חישובים!$D$21/12,(('הנחות עסקה'!$D$72*'הנחות עסקה'!$I$70)/365*12),(-FV('מודל כלכלי'!$C$20,(12+(('הנחות עסקה'!$D$71-'הנחות עסקה'!$D$72)*'הנחות עסקה'!$I$70)/365),,'מודל כלכלי'!$C$53)))))*היוון!$C$26)),ROUND('מודל כלכלי'!$C$59*(1+'מודל כלכלי'!$C$24)^12,-4)))+(ROUND(FV('מודל כלכלי'!$C$17/12,12*12,'מודל כלכלי'!$C$48,'מודל כלכלי'!$C$46),-4))+(ROUND(-'מודל כלכלי'!$C$66*(IF('מודל כלכלי'!$C$26="פליפ",((-PV(חישובים!$D$21/12,(('הנחות עסקה'!$D$72*'הנחות עסקה'!$I$70)/365*12),(-FV('מודל כלכלי'!$C$20,(12+(('הנחות עסקה'!$D$71-'הנחות עסקה'!$D$72)*'הנחות עסקה'!$I$70)/365),,'מודל כלכלי'!$C$53))))+((0.07*(ROUND('מודל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כלכלי'!$C$24)^12,-4)))*0.5)))))+(-PV(חישובים!$D$21/12,(('הנחות עסקה'!$D$72*'הנחות עסקה'!$I$70)/365*12),(-FV('מודל כלכלי'!$C$20,(12+(('הנחות עסקה'!$D$71-'הנחות עסקה'!$D$72)*'הנחות עסקה'!$I$70)/365),,'מודל כלכלי'!$C$53)))))*היוון!$C$26)),ROUND('מודל כלכלי'!$C$59*(1+'מודל כלכלי'!$C$24)^12,-4)))*'מודל כלכלי'!$C$14-'מודל כלכלי'!$C$68*(IF('מודל כלכלי'!$C$26="פליפ",((-PV(חישובים!$D$21/12,(('הנחות עסקה'!$D$72*'הנחות עסקה'!$I$70)/365*12),(-FV('מודל כלכלי'!$C$20,(12+(('הנחות עסקה'!$D$71-'הנחות עסקה'!$D$72)*'הנחות עסקה'!$I$70)/365),,'מודל כלכלי'!$C$53))))+((0.07*(ROUND('מודל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כלכלי'!$C$24)^12,-4)))*0.5)))))+(-PV(חישובים!$D$21/12,(('הנחות עסקה'!$D$72*'הנחות עסקה'!$I$70)/365*12),(-FV('מודל כלכלי'!$C$20,(12+(('הנחות עסקה'!$D$71-'הנחות עסקה'!$D$72)*'הנחות עסקה'!$I$70)/365),,'מודל כלכלי'!$C$53)))))*היוון!$C$26)),ROUND('מודל כלכלי'!$C$59*(1+'מודל כלכלי'!$C$24)^12,-4)))*'מודל כלכלי'!$C$14+'מודל כלכלי'!$C$70,-3))+(ROUND(-FV(חישובים!$D$22,12*12,ROUND(ROUND('מודל כלכלי'!$C$53*(1+0.02)^((12-1)/2),-2)*'מודל כלכלי'!$C$54-'מודל כלכלי'!$C$21+'מודל כלכלי'!$C$48,-2)),-3))+(-'מודל כלכלי'!$C$45)+(-MAX(0,(IF('מודל כלכלי'!$C$26="פליפ",((-PV(חישובים!$D$21/12,(('הנחות עסקה'!$D$72*'הנחות עסקה'!$I$70)/365*12),(-FV('מודל כלכלי'!$C$20,(12+(('הנחות עסקה'!$D$71-'הנחות עסקה'!$D$72)*'הנחות עסקה'!$I$70)/365),,'מודל כלכלי'!$C$53))))+((0.07*(ROUND('מודל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כלכלי'!$C$24)^12,-4)))*0.5)))))+(-PV(חישובים!$D$21/12,(('הנחות עסקה'!$D$72*'הנחות עסקה'!$I$70)/365*12),(-FV('מודל כלכלי'!$C$20,(12+(('הנחות עסקה'!$D$71-'הנחות עסקה'!$D$72)*'הנחות עסקה'!$I$70)/365),,'מודל כלכלי'!$C$53)))))*היוון!$C$26)),ROUND('מודל כלכלי'!$C$59*(1+'מודל כלכלי'!$C$24)^12,-4)))-(חישובים!$D$28*(1+חישובים!$D$29)^12))*0.25),-4))+'מודל כלכלי'!$C$45)/'מודל כלכלי'!$C$45)^(1/12)-1</f>
        <v>0.14537031479493789</v>
      </c>
      <c r="J39" s="59">
        <f>(((ROUND((IF('מודל כלכלי'!$C$26="פליפ",((-PV(חישובים!$D$21/12,(('הנחות עסקה'!$D$72*'הנחות עסקה'!$I$70)/365*12),(-FV('מודל כלכלי'!$C$20,(13+(('הנחות עסקה'!$D$71-'הנחות עסקה'!$D$72)*'הנחות עסקה'!$I$70)/365),,'מודל כלכלי'!$C$53))))+((0.07*(ROUND('מודל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כלכלי'!$C$24)^13,-4)))*0.5)))))+(-PV(חישובים!$D$21/12,(('הנחות עסקה'!$D$72*'הנחות עסקה'!$I$70)/365*12),(-FV('מודל כלכלי'!$C$20,(13+(('הנחות עסקה'!$D$71-'הנחות עסקה'!$D$72)*'הנחות עסקה'!$I$70)/365),,'מודל כלכלי'!$C$53)))))*היוון!$C$26)),ROUND('מודל כלכלי'!$C$59*(1+'מודל כלכלי'!$C$24)^13,-4)))+(ROUND(FV('מודל כלכלי'!$C$17/12,13*12,'מודל כלכלי'!$C$48,'מודל כלכלי'!$C$46),-4))+(ROUND(-'מודל כלכלי'!$C$66*(IF('מודל כלכלי'!$C$26="פליפ",((-PV(חישובים!$D$21/12,(('הנחות עסקה'!$D$72*'הנחות עסקה'!$I$70)/365*12),(-FV('מודל כלכלי'!$C$20,(13+(('הנחות עסקה'!$D$71-'הנחות עסקה'!$D$72)*'הנחות עסקה'!$I$70)/365),,'מודל כלכלי'!$C$53))))+((0.07*(ROUND('מודל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כלכלי'!$C$24)^13,-4)))*0.5)))))+(-PV(חישובים!$D$21/12,(('הנחות עסקה'!$D$72*'הנחות עסקה'!$I$70)/365*12),(-FV('מודל כלכלי'!$C$20,(13+(('הנחות עסקה'!$D$71-'הנחות עסקה'!$D$72)*'הנחות עסקה'!$I$70)/365),,'מודל כלכלי'!$C$53)))))*היוון!$C$26)),ROUND('מודל כלכלי'!$C$59*(1+'מודל כלכלי'!$C$24)^13,-4)))*'מודל כלכלי'!$C$14-'מודל כלכלי'!$C$68*(IF('מודל כלכלי'!$C$26="פליפ",((-PV(חישובים!$D$21/12,(('הנחות עסקה'!$D$72*'הנחות עסקה'!$I$70)/365*12),(-FV('מודל כלכלי'!$C$20,(13+(('הנחות עסקה'!$D$71-'הנחות עסקה'!$D$72)*'הנחות עסקה'!$I$70)/365),,'מודל כלכלי'!$C$53))))+((0.07*(ROUND('מודל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כלכלי'!$C$24)^13,-4)))*0.5)))))+(-PV(חישובים!$D$21/12,(('הנחות עסקה'!$D$72*'הנחות עסקה'!$I$70)/365*12),(-FV('מודל כלכלי'!$C$20,(13+(('הנחות עסקה'!$D$71-'הנחות עסקה'!$D$72)*'הנחות עסקה'!$I$70)/365),,'מודל כלכלי'!$C$53)))))*היוון!$C$26)),ROUND('מודל כלכלי'!$C$59*(1+'מודל כלכלי'!$C$24)^13,-4)))*'מודל כלכלי'!$C$14+'מודל כלכלי'!$C$70,-3))+(ROUND(-FV(חישובים!$D$22,13*12,ROUND(ROUND('מודל כלכלי'!$C$53*(1+0.02)^((13-1)/2),-2)*'מודל כלכלי'!$C$54-'מודל כלכלי'!$C$21+'מודל כלכלי'!$C$48,-2)),-3))+(-'מודל כלכלי'!$C$45)+(-MAX(0,(IF('מודל כלכלי'!$C$26="פליפ",((-PV(חישובים!$D$21/12,(('הנחות עסקה'!$D$72*'הנחות עסקה'!$I$70)/365*12),(-FV('מודל כלכלי'!$C$20,(13+(('הנחות עסקה'!$D$71-'הנחות עסקה'!$D$72)*'הנחות עסקה'!$I$70)/365),,'מודל כלכלי'!$C$53))))+((0.07*(ROUND('מודל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כלכלי'!$C$24)^13,-4)))*0.5)))))+(-PV(חישובים!$D$21/12,(('הנחות עסקה'!$D$72*'הנחות עסקה'!$I$70)/365*12),(-FV('מודל כלכלי'!$C$20,(13+(('הנחות עסקה'!$D$71-'הנחות עסקה'!$D$72)*'הנחות עסקה'!$I$70)/365),,'מודל כלכלי'!$C$53)))))*היוון!$C$26)),ROUND('מודל כלכלי'!$C$59*(1+'מודל כלכלי'!$C$24)^13,-4)))-(חישובים!$D$28*(1+חישובים!$D$29)^13))*0.25),-4))+'מודל כלכלי'!$C$45)/'מודל כלכלי'!$C$45)^(1/13)-1</f>
        <v>0.13803478207615472</v>
      </c>
    </row>
    <row r="40" spans="2:10" ht="15" customHeight="1">
      <c r="B40" s="74">
        <v>0.03</v>
      </c>
      <c r="C40" s="59">
        <f>(((ROUND((IF('מודל כלכלי'!$C$26="פליפ",((-PV(חישובים!$D$21/12,(('הנחות עסקה'!$D$72*'הנחות עסקה'!$I$70)/365*12),(-FV('מודל כלכלי'!$C$20,(6+(('הנחות עסקה'!$D$71-'הנחות עסקה'!$D$72)*'הנחות עסקה'!$I$70)/365),,'מודל כלכלי'!$C$53))))+((0.07*(ROUND('מודל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כלכלי'!$C$24)^6,-4)))*0.5)))))+(-PV(חישובים!$D$21/12,(('הנחות עסקה'!$D$72*'הנחות עסקה'!$I$70)/365*12),(-FV('מודל כלכלי'!$C$20,(6+(('הנחות עסקה'!$D$71-'הנחות עסקה'!$D$72)*'הנחות עסקה'!$I$70)/365),,'מודל כלכלי'!$C$53)))))*היוון!$C$26)),ROUND('מודל כלכלי'!$C$59*(1+'מודל כלכלי'!$C$24)^6,-4)))+(ROUND(FV('מודל כלכלי'!$C$17/12,6*12,'מודל כלכלי'!$C$48,'מודל כלכלי'!$C$46),-4))+(ROUND(-'מודל כלכלי'!$C$66*(IF('מודל כלכלי'!$C$26="פליפ",((-PV(חישובים!$D$21/12,(('הנחות עסקה'!$D$72*'הנחות עסקה'!$I$70)/365*12),(-FV('מודל כלכלי'!$C$20,(6+(('הנחות עסקה'!$D$71-'הנחות עסקה'!$D$72)*'הנחות עסקה'!$I$70)/365),,'מודל כלכלי'!$C$53))))+((0.07*(ROUND('מודל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כלכלי'!$C$24)^6,-4)))*0.5)))))+(-PV(חישובים!$D$21/12,(('הנחות עסקה'!$D$72*'הנחות עסקה'!$I$70)/365*12),(-FV('מודל כלכלי'!$C$20,(6+(('הנחות עסקה'!$D$71-'הנחות עסקה'!$D$72)*'הנחות עסקה'!$I$70)/365),,'מודל כלכלי'!$C$53)))))*היוון!$C$26)),ROUND('מודל כלכלי'!$C$59*(1+'מודל כלכלי'!$C$24)^6,-4)))*'מודל כלכלי'!$C$14-'מודל כלכלי'!$C$68*(IF('מודל כלכלי'!$C$26="פליפ",((-PV(חישובים!$D$21/12,(('הנחות עסקה'!$D$72*'הנחות עסקה'!$I$70)/365*12),(-FV('מודל כלכלי'!$C$20,(6+(('הנחות עסקה'!$D$71-'הנחות עסקה'!$D$72)*'הנחות עסקה'!$I$70)/365),,'מודל כלכלי'!$C$53))))+((0.07*(ROUND('מודל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כלכלי'!$C$24)^6,-4)))*0.5)))))+(-PV(חישובים!$D$21/12,(('הנחות עסקה'!$D$72*'הנחות עסקה'!$I$70)/365*12),(-FV('מודל כלכלי'!$C$20,(6+(('הנחות עסקה'!$D$71-'הנחות עסקה'!$D$72)*'הנחות עסקה'!$I$70)/365),,'מודל כלכלי'!$C$53)))))*היוון!$C$26)),ROUND('מודל כלכלי'!$C$59*(1+'מודל כלכלי'!$C$24)^6,-4)))*'מודל כלכלי'!$C$14+'מודל כלכלי'!$C$70,-3))+(ROUND(-FV(חישובים!$D$22,6*12,ROUND(ROUND('מודל כלכלי'!$C$53*(1+0.03)^((6-1)/2),-2)*'מודל כלכלי'!$C$54-'מודל כלכלי'!$C$21+'מודל כלכלי'!$C$48,-2)),-3))+(-'מודל כלכלי'!$C$45)+(-MAX(0,(IF('מודל כלכלי'!$C$26="פליפ",((-PV(חישובים!$D$21/12,(('הנחות עסקה'!$D$72*'הנחות עסקה'!$I$70)/365*12),(-FV('מודל כלכלי'!$C$20,(6+(('הנחות עסקה'!$D$71-'הנחות עסקה'!$D$72)*'הנחות עסקה'!$I$70)/365),,'מודל כלכלי'!$C$53))))+((0.07*(ROUND('מודל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כלכלי'!$C$24)^6,-4)))*0.5)))))+(-PV(חישובים!$D$21/12,(('הנחות עסקה'!$D$72*'הנחות עסקה'!$I$70)/365*12),(-FV('מודל כלכלי'!$C$20,(6+(('הנחות עסקה'!$D$71-'הנחות עסקה'!$D$72)*'הנחות עסקה'!$I$70)/365),,'מודל כלכלי'!$C$53)))))*היוון!$C$26)),ROUND('מודל כלכלי'!$C$59*(1+'מודל כלכלי'!$C$24)^6,-4)))-(חישובים!$D$28*(1+חישובים!$D$29)^6))*0.25),-4))+'מודל כלכלי'!$C$45)/'מודל כלכלי'!$C$45)^(1/6)-1</f>
        <v>0.23507902402979797</v>
      </c>
      <c r="D40" s="59">
        <f>(((ROUND((IF('מודל כלכלי'!$C$26="פליפ",((-PV(חישובים!$D$21/12,(('הנחות עסקה'!$D$72*'הנחות עסקה'!$I$70)/365*12),(-FV('מודל כלכלי'!$C$20,(7+(('הנחות עסקה'!$D$71-'הנחות עסקה'!$D$72)*'הנחות עסקה'!$I$70)/365),,'מודל כלכלי'!$C$53))))+((0.07*(ROUND('מודל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כלכלי'!$C$24)^7,-4)))*0.5)))))+(-PV(חישובים!$D$21/12,(('הנחות עסקה'!$D$72*'הנחות עסקה'!$I$70)/365*12),(-FV('מודל כלכלי'!$C$20,(7+(('הנחות עסקה'!$D$71-'הנחות עסקה'!$D$72)*'הנחות עסקה'!$I$70)/365),,'מודל כלכלי'!$C$53)))))*היוון!$C$26)),ROUND('מודל כלכלי'!$C$59*(1+'מודל כלכלי'!$C$24)^7,-4)))+(ROUND(FV('מודל כלכלי'!$C$17/12,7*12,'מודל כלכלי'!$C$48,'מודל כלכלי'!$C$46),-4))+(ROUND(-'מודל כלכלי'!$C$66*(IF('מודל כלכלי'!$C$26="פליפ",((-PV(חישובים!$D$21/12,(('הנחות עסקה'!$D$72*'הנחות עסקה'!$I$70)/365*12),(-FV('מודל כלכלי'!$C$20,(7+(('הנחות עסקה'!$D$71-'הנחות עסקה'!$D$72)*'הנחות עסקה'!$I$70)/365),,'מודל כלכלי'!$C$53))))+((0.07*(ROUND('מודל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כלכלי'!$C$24)^7,-4)))*0.5)))))+(-PV(חישובים!$D$21/12,(('הנחות עסקה'!$D$72*'הנחות עסקה'!$I$70)/365*12),(-FV('מודל כלכלי'!$C$20,(7+(('הנחות עסקה'!$D$71-'הנחות עסקה'!$D$72)*'הנחות עסקה'!$I$70)/365),,'מודל כלכלי'!$C$53)))))*היוון!$C$26)),ROUND('מודל כלכלי'!$C$59*(1+'מודל כלכלי'!$C$24)^7,-4)))*'מודל כלכלי'!$C$14-'מודל כלכלי'!$C$68*(IF('מודל כלכלי'!$C$26="פליפ",((-PV(חישובים!$D$21/12,(('הנחות עסקה'!$D$72*'הנחות עסקה'!$I$70)/365*12),(-FV('מודל כלכלי'!$C$20,(7+(('הנחות עסקה'!$D$71-'הנחות עסקה'!$D$72)*'הנחות עסקה'!$I$70)/365),,'מודל כלכלי'!$C$53))))+((0.07*(ROUND('מודל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כלכלי'!$C$24)^7,-4)))*0.5)))))+(-PV(חישובים!$D$21/12,(('הנחות עסקה'!$D$72*'הנחות עסקה'!$I$70)/365*12),(-FV('מודל כלכלי'!$C$20,(7+(('הנחות עסקה'!$D$71-'הנחות עסקה'!$D$72)*'הנחות עסקה'!$I$70)/365),,'מודל כלכלי'!$C$53)))))*היוון!$C$26)),ROUND('מודל כלכלי'!$C$59*(1+'מודל כלכלי'!$C$24)^7,-4)))*'מודל כלכלי'!$C$14+'מודל כלכלי'!$C$70,-3))+(ROUND(-FV(חישובים!$D$22,7*12,ROUND(ROUND('מודל כלכלי'!$C$53*(1+0.03)^((7-1)/2),-2)*'מודל כלכלי'!$C$54-'מודל כלכלי'!$C$21+'מודל כלכלי'!$C$48,-2)),-3))+(-'מודל כלכלי'!$C$45)+(-MAX(0,(IF('מודל כלכלי'!$C$26="פליפ",((-PV(חישובים!$D$21/12,(('הנחות עסקה'!$D$72*'הנחות עסקה'!$I$70)/365*12),(-FV('מודל כלכלי'!$C$20,(7+(('הנחות עסקה'!$D$71-'הנחות עסקה'!$D$72)*'הנחות עסקה'!$I$70)/365),,'מודל כלכלי'!$C$53))))+((0.07*(ROUND('מודל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כלכלי'!$C$24)^7,-4)))*0.5)))))+(-PV(חישובים!$D$21/12,(('הנחות עסקה'!$D$72*'הנחות עסקה'!$I$70)/365*12),(-FV('מודל כלכלי'!$C$20,(7+(('הנחות עסקה'!$D$71-'הנחות עסקה'!$D$72)*'הנחות עסקה'!$I$70)/365),,'מודל כלכלי'!$C$53)))))*היוון!$C$26)),ROUND('מודל כלכלי'!$C$59*(1+'מודל כלכלי'!$C$24)^7,-4)))-(חישובים!$D$28*(1+חישובים!$D$29)^7))*0.25),-4))+'מודל כלכלי'!$C$45)/'מודל כלכלי'!$C$45)^(1/7)-1</f>
        <v>0.20976420197850998</v>
      </c>
      <c r="E40" s="75">
        <f>(((ROUND((IF('מודל כלכלי'!$C$26="פליפ",((-PV(חישובים!$D$21/12,(('הנחות עסקה'!$D$72*'הנחות עסקה'!$I$70)/365*12),(-FV('מודל כלכלי'!$C$20,(8+(('הנחות עסקה'!$D$71-'הנחות עסקה'!$D$72)*'הנחות עסקה'!$I$70)/365),,'מודל כלכלי'!$C$53))))+((0.07*(ROUND('מודל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כלכלי'!$C$24)^8,-4)))*0.5)))))+(-PV(חישובים!$D$21/12,(('הנחות עסקה'!$D$72*'הנחות עסקה'!$I$70)/365*12),(-FV('מודל כלכלי'!$C$20,(8+(('הנחות עסקה'!$D$71-'הנחות עסקה'!$D$72)*'הנחות עסקה'!$I$70)/365),,'מודל כלכלי'!$C$53)))))*היוון!$C$26)),ROUND('מודל כלכלי'!$C$59*(1+'מודל כלכלי'!$C$24)^8,-4)))+(ROUND(FV('מודל כלכלי'!$C$17/12,8*12,'מודל כלכלי'!$C$48,'מודל כלכלי'!$C$46),-4))+(ROUND(-'מודל כלכלי'!$C$66*(IF('מודל כלכלי'!$C$26="פליפ",((-PV(חישובים!$D$21/12,(('הנחות עסקה'!$D$72*'הנחות עסקה'!$I$70)/365*12),(-FV('מודל כלכלי'!$C$20,(8+(('הנחות עסקה'!$D$71-'הנחות עסקה'!$D$72)*'הנחות עסקה'!$I$70)/365),,'מודל כלכלי'!$C$53))))+((0.07*(ROUND('מודל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כלכלי'!$C$24)^8,-4)))*0.5)))))+(-PV(חישובים!$D$21/12,(('הנחות עסקה'!$D$72*'הנחות עסקה'!$I$70)/365*12),(-FV('מודל כלכלי'!$C$20,(8+(('הנחות עסקה'!$D$71-'הנחות עסקה'!$D$72)*'הנחות עסקה'!$I$70)/365),,'מודל כלכלי'!$C$53)))))*היוון!$C$26)),ROUND('מודל כלכלי'!$C$59*(1+'מודל כלכלי'!$C$24)^8,-4)))*'מודל כלכלי'!$C$14-'מודל כלכלי'!$C$68*(IF('מודל כלכלי'!$C$26="פליפ",((-PV(חישובים!$D$21/12,(('הנחות עסקה'!$D$72*'הנחות עסקה'!$I$70)/365*12),(-FV('מודל כלכלי'!$C$20,(8+(('הנחות עסקה'!$D$71-'הנחות עסקה'!$D$72)*'הנחות עסקה'!$I$70)/365),,'מודל כלכלי'!$C$53))))+((0.07*(ROUND('מודל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כלכלי'!$C$24)^8,-4)))*0.5)))))+(-PV(חישובים!$D$21/12,(('הנחות עסקה'!$D$72*'הנחות עסקה'!$I$70)/365*12),(-FV('מודל כלכלי'!$C$20,(8+(('הנחות עסקה'!$D$71-'הנחות עסקה'!$D$72)*'הנחות עסקה'!$I$70)/365),,'מודל כלכלי'!$C$53)))))*היוון!$C$26)),ROUND('מודל כלכלי'!$C$59*(1+'מודל כלכלי'!$C$24)^8,-4)))*'מודל כלכלי'!$C$14+'מודל כלכלי'!$C$70,-3))+(ROUND(-FV(חישובים!$D$22,8*12,ROUND(ROUND('מודל כלכלי'!$C$53*(1+0.03)^((8-1)/2),-2)*'מודל כלכלי'!$C$54-'מודל כלכלי'!$C$21+'מודל כלכלי'!$C$48,-2)),-3))+(-'מודל כלכלי'!$C$45)+(-MAX(0,(IF('מודל כלכלי'!$C$26="פליפ",((-PV(חישובים!$D$21/12,(('הנחות עסקה'!$D$72*'הנחות עסקה'!$I$70)/365*12),(-FV('מודל כלכלי'!$C$20,(8+(('הנחות עסקה'!$D$71-'הנחות עסקה'!$D$72)*'הנחות עסקה'!$I$70)/365),,'מודל כלכלי'!$C$53))))+((0.07*(ROUND('מודל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כלכלי'!$C$24)^8,-4)))*0.5)))))+(-PV(חישובים!$D$21/12,(('הנחות עסקה'!$D$72*'הנחות עסקה'!$I$70)/365*12),(-FV('מודל כלכלי'!$C$20,(8+(('הנחות עסקה'!$D$71-'הנחות עסקה'!$D$72)*'הנחות עסקה'!$I$70)/365),,'מודל כלכלי'!$C$53)))))*היוון!$C$26)),ROUND('מודל כלכלי'!$C$59*(1+'מודל כלכלי'!$C$24)^8,-4)))-(חישובים!$D$28*(1+חישובים!$D$29)^8))*0.25),-4))+'מודל כלכלי'!$C$45)/'מודל כלכלי'!$C$45)^(1/8)-1</f>
        <v>0.19106646464860977</v>
      </c>
      <c r="F40" s="59">
        <f>(((ROUND((IF('מודל כלכלי'!$C$26="פליפ",((-PV(חישובים!$D$21/12,(('הנחות עסקה'!$D$72*'הנחות עסקה'!$I$70)/365*12),(-FV('מודל כלכלי'!$C$20,(9+(('הנחות עסקה'!$D$71-'הנחות עסקה'!$D$72)*'הנחות עסקה'!$I$70)/365),,'מודל כלכלי'!$C$53))))+((0.07*(ROUND('מודל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כלכלי'!$C$24)^9,-4)))*0.5)))))+(-PV(חישובים!$D$21/12,(('הנחות עסקה'!$D$72*'הנחות עסקה'!$I$70)/365*12),(-FV('מודל כלכלי'!$C$20,(9+(('הנחות עסקה'!$D$71-'הנחות עסקה'!$D$72)*'הנחות עסקה'!$I$70)/365),,'מודל כלכלי'!$C$53)))))*היוון!$C$26)),ROUND('מודל כלכלי'!$C$59*(1+'מודל כלכלי'!$C$24)^9,-4)))+(ROUND(FV('מודל כלכלי'!$C$17/12,9*12,'מודל כלכלי'!$C$48,'מודל כלכלי'!$C$46),-4))+(ROUND(-'מודל כלכלי'!$C$66*(IF('מודל כלכלי'!$C$26="פליפ",((-PV(חישובים!$D$21/12,(('הנחות עסקה'!$D$72*'הנחות עסקה'!$I$70)/365*12),(-FV('מודל כלכלי'!$C$20,(9+(('הנחות עסקה'!$D$71-'הנחות עסקה'!$D$72)*'הנחות עסקה'!$I$70)/365),,'מודל כלכלי'!$C$53))))+((0.07*(ROUND('מודל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כלכלי'!$C$24)^9,-4)))*0.5)))))+(-PV(חישובים!$D$21/12,(('הנחות עסקה'!$D$72*'הנחות עסקה'!$I$70)/365*12),(-FV('מודל כלכלי'!$C$20,(9+(('הנחות עסקה'!$D$71-'הנחות עסקה'!$D$72)*'הנחות עסקה'!$I$70)/365),,'מודל כלכלי'!$C$53)))))*היוון!$C$26)),ROUND('מודל כלכלי'!$C$59*(1+'מודל כלכלי'!$C$24)^9,-4)))*'מודל כלכלי'!$C$14-'מודל כלכלי'!$C$68*(IF('מודל כלכלי'!$C$26="פליפ",((-PV(חישובים!$D$21/12,(('הנחות עסקה'!$D$72*'הנחות עסקה'!$I$70)/365*12),(-FV('מודל כלכלי'!$C$20,(9+(('הנחות עסקה'!$D$71-'הנחות עסקה'!$D$72)*'הנחות עסקה'!$I$70)/365),,'מודל כלכלי'!$C$53))))+((0.07*(ROUND('מודל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כלכלי'!$C$24)^9,-4)))*0.5)))))+(-PV(חישובים!$D$21/12,(('הנחות עסקה'!$D$72*'הנחות עסקה'!$I$70)/365*12),(-FV('מודל כלכלי'!$C$20,(9+(('הנחות עסקה'!$D$71-'הנחות עסקה'!$D$72)*'הנחות עסקה'!$I$70)/365),,'מודל כלכלי'!$C$53)))))*היוון!$C$26)),ROUND('מודל כלכלי'!$C$59*(1+'מודל כלכלי'!$C$24)^9,-4)))*'מודל כלכלי'!$C$14+'מודל כלכלי'!$C$70,-3))+(ROUND(-FV(חישובים!$D$22,9*12,ROUND(ROUND('מודל כלכלי'!$C$53*(1+0.03)^((9-1)/2),-2)*'מודל כלכלי'!$C$54-'מודל כלכלי'!$C$21+'מודל כלכלי'!$C$48,-2)),-3))+(-'מודל כלכלי'!$C$45)+(-MAX(0,(IF('מודל כלכלי'!$C$26="פליפ",((-PV(חישובים!$D$21/12,(('הנחות עסקה'!$D$72*'הנחות עסקה'!$I$70)/365*12),(-FV('מודל כלכלי'!$C$20,(9+(('הנחות עסקה'!$D$71-'הנחות עסקה'!$D$72)*'הנחות עסקה'!$I$70)/365),,'מודל כלכלי'!$C$53))))+((0.07*(ROUND('מודל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כלכלי'!$C$24)^9,-4)))*0.5)))))+(-PV(חישובים!$D$21/12,(('הנחות עסקה'!$D$72*'הנחות עסקה'!$I$70)/365*12),(-FV('מודל כלכלי'!$C$20,(9+(('הנחות עסקה'!$D$71-'הנחות עסקה'!$D$72)*'הנחות עסקה'!$I$70)/365),,'מודל כלכלי'!$C$53)))))*היוון!$C$26)),ROUND('מודל כלכלי'!$C$59*(1+'מודל כלכלי'!$C$24)^9,-4)))-(חישובים!$D$28*(1+חישובים!$D$29)^9))*0.25),-4))+'מודל כלכלי'!$C$45)/'מודל כלכלי'!$C$45)^(1/9)-1</f>
        <v>0.17619238844227847</v>
      </c>
      <c r="G40" s="59">
        <f>(((ROUND((IF('מודל כלכלי'!$C$26="פליפ",((-PV(חישובים!$D$21/12,(('הנחות עסקה'!$D$72*'הנחות עסקה'!$I$70)/365*12),(-FV('מודל כלכלי'!$C$20,(10+(('הנחות עסקה'!$D$71-'הנחות עסקה'!$D$72)*'הנחות עסקה'!$I$70)/365),,'מודל כלכלי'!$C$53))))+((0.07*(ROUND('מודל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כלכלי'!$C$24)^10,-4)))*0.5)))))+(-PV(חישובים!$D$21/12,(('הנחות עסקה'!$D$72*'הנחות עסקה'!$I$70)/365*12),(-FV('מודל כלכלי'!$C$20,(10+(('הנחות עסקה'!$D$71-'הנחות עסקה'!$D$72)*'הנחות עסקה'!$I$70)/365),,'מודל כלכלי'!$C$53)))))*היוון!$C$26)),ROUND('מודל כלכלי'!$C$59*(1+'מודל כלכלי'!$C$24)^10,-4)))+(ROUND(FV('מודל כלכלי'!$C$17/12,10*12,'מודל כלכלי'!$C$48,'מודל כלכלי'!$C$46),-4))+(ROUND(-'מודל כלכלי'!$C$66*(IF('מודל כלכלי'!$C$26="פליפ",((-PV(חישובים!$D$21/12,(('הנחות עסקה'!$D$72*'הנחות עסקה'!$I$70)/365*12),(-FV('מודל כלכלי'!$C$20,(10+(('הנחות עסקה'!$D$71-'הנחות עסקה'!$D$72)*'הנחות עסקה'!$I$70)/365),,'מודל כלכלי'!$C$53))))+((0.07*(ROUND('מודל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כלכלי'!$C$24)^10,-4)))*0.5)))))+(-PV(חישובים!$D$21/12,(('הנחות עסקה'!$D$72*'הנחות עסקה'!$I$70)/365*12),(-FV('מודל כלכלי'!$C$20,(10+(('הנחות עסקה'!$D$71-'הנחות עסקה'!$D$72)*'הנחות עסקה'!$I$70)/365),,'מודל כלכלי'!$C$53)))))*היוון!$C$26)),ROUND('מודל כלכלי'!$C$59*(1+'מודל כלכלי'!$C$24)^10,-4)))*'מודל כלכלי'!$C$14-'מודל כלכלי'!$C$68*(IF('מודל כלכלי'!$C$26="פליפ",((-PV(חישובים!$D$21/12,(('הנחות עסקה'!$D$72*'הנחות עסקה'!$I$70)/365*12),(-FV('מודל כלכלי'!$C$20,(10+(('הנחות עסקה'!$D$71-'הנחות עסקה'!$D$72)*'הנחות עסקה'!$I$70)/365),,'מודל כלכלי'!$C$53))))+((0.07*(ROUND('מודל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כלכלי'!$C$24)^10,-4)))*0.5)))))+(-PV(חישובים!$D$21/12,(('הנחות עסקה'!$D$72*'הנחות עסקה'!$I$70)/365*12),(-FV('מודל כלכלי'!$C$20,(10+(('הנחות עסקה'!$D$71-'הנחות עסקה'!$D$72)*'הנחות עסקה'!$I$70)/365),,'מודל כלכלי'!$C$53)))))*היוון!$C$26)),ROUND('מודל כלכלי'!$C$59*(1+'מודל כלכלי'!$C$24)^10,-4)))*'מודל כלכלי'!$C$14+'מודל כלכלי'!$C$70,-3))+(ROUND(-FV(חישובים!$D$22,10*12,ROUND(ROUND('מודל כלכלי'!$C$53*(1+0.03)^((10-1)/2),-2)*'מודל כלכלי'!$C$54-'מודל כלכלי'!$C$21+'מודל כלכלי'!$C$48,-2)),-3))+(-'מודל כלכלי'!$C$45)+(-MAX(0,(IF('מודל כלכלי'!$C$26="פליפ",((-PV(חישובים!$D$21/12,(('הנחות עסקה'!$D$72*'הנחות עסקה'!$I$70)/365*12),(-FV('מודל כלכלי'!$C$20,(10+(('הנחות עסקה'!$D$71-'הנחות עסקה'!$D$72)*'הנחות עסקה'!$I$70)/365),,'מודל כלכלי'!$C$53))))+((0.07*(ROUND('מודל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כלכלי'!$C$24)^10,-4)))*0.5)))))+(-PV(חישובים!$D$21/12,(('הנחות עסקה'!$D$72*'הנחות עסקה'!$I$70)/365*12),(-FV('מודל כלכלי'!$C$20,(10+(('הנחות עסקה'!$D$71-'הנחות עסקה'!$D$72)*'הנחות עסקה'!$I$70)/365),,'מודל כלכלי'!$C$53)))))*היוון!$C$26)),ROUND('מודל כלכלי'!$C$59*(1+'מודל כלכלי'!$C$24)^10,-4)))-(חישובים!$D$28*(1+חישובים!$D$29)^10))*0.25),-4))+'מודל כלכלי'!$C$45)/'מודל כלכלי'!$C$45)^(1/10)-1</f>
        <v>0.16439503731577521</v>
      </c>
      <c r="H40" s="59">
        <f>(((ROUND((IF('מודל כלכלי'!$C$26="פליפ",((-PV(חישובים!$D$21/12,(('הנחות עסקה'!$D$72*'הנחות עסקה'!$I$70)/365*12),(-FV('מודל כלכלי'!$C$20,(11+(('הנחות עסקה'!$D$71-'הנחות עסקה'!$D$72)*'הנחות עסקה'!$I$70)/365),,'מודל כלכלי'!$C$53))))+((0.07*(ROUND('מודל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כלכלי'!$C$24)^11,-4)))*0.5)))))+(-PV(חישובים!$D$21/12,(('הנחות עסקה'!$D$72*'הנחות עסקה'!$I$70)/365*12),(-FV('מודל כלכלי'!$C$20,(11+(('הנחות עסקה'!$D$71-'הנחות עסקה'!$D$72)*'הנחות עסקה'!$I$70)/365),,'מודל כלכלי'!$C$53)))))*היוון!$C$26)),ROUND('מודל כלכלי'!$C$59*(1+'מודל כלכלי'!$C$24)^11,-4)))+(ROUND(FV('מודל כלכלי'!$C$17/12,11*12,'מודל כלכלי'!$C$48,'מודל כלכלי'!$C$46),-4))+(ROUND(-'מודל כלכלי'!$C$66*(IF('מודל כלכלי'!$C$26="פליפ",((-PV(חישובים!$D$21/12,(('הנחות עסקה'!$D$72*'הנחות עסקה'!$I$70)/365*12),(-FV('מודל כלכלי'!$C$20,(11+(('הנחות עסקה'!$D$71-'הנחות עסקה'!$D$72)*'הנחות עסקה'!$I$70)/365),,'מודל כלכלי'!$C$53))))+((0.07*(ROUND('מודל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כלכלי'!$C$24)^11,-4)))*0.5)))))+(-PV(חישובים!$D$21/12,(('הנחות עסקה'!$D$72*'הנחות עסקה'!$I$70)/365*12),(-FV('מודל כלכלי'!$C$20,(11+(('הנחות עסקה'!$D$71-'הנחות עסקה'!$D$72)*'הנחות עסקה'!$I$70)/365),,'מודל כלכלי'!$C$53)))))*היוון!$C$26)),ROUND('מודל כלכלי'!$C$59*(1+'מודל כלכלי'!$C$24)^11,-4)))*'מודל כלכלי'!$C$14-'מודל כלכלי'!$C$68*(IF('מודל כלכלי'!$C$26="פליפ",((-PV(חישובים!$D$21/12,(('הנחות עסקה'!$D$72*'הנחות עסקה'!$I$70)/365*12),(-FV('מודל כלכלי'!$C$20,(11+(('הנחות עסקה'!$D$71-'הנחות עסקה'!$D$72)*'הנחות עסקה'!$I$70)/365),,'מודל כלכלי'!$C$53))))+((0.07*(ROUND('מודל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כלכלי'!$C$24)^11,-4)))*0.5)))))+(-PV(חישובים!$D$21/12,(('הנחות עסקה'!$D$72*'הנחות עסקה'!$I$70)/365*12),(-FV('מודל כלכלי'!$C$20,(11+(('הנחות עסקה'!$D$71-'הנחות עסקה'!$D$72)*'הנחות עסקה'!$I$70)/365),,'מודל כלכלי'!$C$53)))))*היוון!$C$26)),ROUND('מודל כלכלי'!$C$59*(1+'מודל כלכלי'!$C$24)^11,-4)))*'מודל כלכלי'!$C$14+'מודל כלכלי'!$C$70,-3))+(ROUND(-FV(חישובים!$D$22,11*12,ROUND(ROUND('מודל כלכלי'!$C$53*(1+0.03)^((11-1)/2),-2)*'מודל כלכלי'!$C$54-'מודל כלכלי'!$C$21+'מודל כלכלי'!$C$48,-2)),-3))+(-'מודל כלכלי'!$C$45)+(-MAX(0,(IF('מודל כלכלי'!$C$26="פליפ",((-PV(חישובים!$D$21/12,(('הנחות עסקה'!$D$72*'הנחות עסקה'!$I$70)/365*12),(-FV('מודל כלכלי'!$C$20,(11+(('הנחות עסקה'!$D$71-'הנחות עסקה'!$D$72)*'הנחות עסקה'!$I$70)/365),,'מודל כלכלי'!$C$53))))+((0.07*(ROUND('מודל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כלכלי'!$C$24)^11,-4)))*0.5)))))+(-PV(חישובים!$D$21/12,(('הנחות עסקה'!$D$72*'הנחות עסקה'!$I$70)/365*12),(-FV('מודל כלכלי'!$C$20,(11+(('הנחות עסקה'!$D$71-'הנחות עסקה'!$D$72)*'הנחות עסקה'!$I$70)/365),,'מודל כלכלי'!$C$53)))))*היוון!$C$26)),ROUND('מודל כלכלי'!$C$59*(1+'מודל כלכלי'!$C$24)^11,-4)))-(חישובים!$D$28*(1+חישובים!$D$29)^11))*0.25),-4))+'מודל כלכלי'!$C$45)/'מודל כלכלי'!$C$45)^(1/11)-1</f>
        <v>0.1547845198887714</v>
      </c>
      <c r="I40" s="59">
        <f>(((ROUND((IF('מודל כלכלי'!$C$26="פליפ",((-PV(חישובים!$D$21/12,(('הנחות עסקה'!$D$72*'הנחות עסקה'!$I$70)/365*12),(-FV('מודל כלכלי'!$C$20,(12+(('הנחות עסקה'!$D$71-'הנחות עסקה'!$D$72)*'הנחות עסקה'!$I$70)/365),,'מודל כלכלי'!$C$53))))+((0.07*(ROUND('מודל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כלכלי'!$C$24)^12,-4)))*0.5)))))+(-PV(חישובים!$D$21/12,(('הנחות עסקה'!$D$72*'הנחות עסקה'!$I$70)/365*12),(-FV('מודל כלכלי'!$C$20,(12+(('הנחות עסקה'!$D$71-'הנחות עסקה'!$D$72)*'הנחות עסקה'!$I$70)/365),,'מודל כלכלי'!$C$53)))))*היוון!$C$26)),ROUND('מודל כלכלי'!$C$59*(1+'מודל כלכלי'!$C$24)^12,-4)))+(ROUND(FV('מודל כלכלי'!$C$17/12,12*12,'מודל כלכלי'!$C$48,'מודל כלכלי'!$C$46),-4))+(ROUND(-'מודל כלכלי'!$C$66*(IF('מודל כלכלי'!$C$26="פליפ",((-PV(חישובים!$D$21/12,(('הנחות עסקה'!$D$72*'הנחות עסקה'!$I$70)/365*12),(-FV('מודל כלכלי'!$C$20,(12+(('הנחות עסקה'!$D$71-'הנחות עסקה'!$D$72)*'הנחות עסקה'!$I$70)/365),,'מודל כלכלי'!$C$53))))+((0.07*(ROUND('מודל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כלכלי'!$C$24)^12,-4)))*0.5)))))+(-PV(חישובים!$D$21/12,(('הנחות עסקה'!$D$72*'הנחות עסקה'!$I$70)/365*12),(-FV('מודל כלכלי'!$C$20,(12+(('הנחות עסקה'!$D$71-'הנחות עסקה'!$D$72)*'הנחות עסקה'!$I$70)/365),,'מודל כלכלי'!$C$53)))))*היוון!$C$26)),ROUND('מודל כלכלי'!$C$59*(1+'מודל כלכלי'!$C$24)^12,-4)))*'מודל כלכלי'!$C$14-'מודל כלכלי'!$C$68*(IF('מודל כלכלי'!$C$26="פליפ",((-PV(חישובים!$D$21/12,(('הנחות עסקה'!$D$72*'הנחות עסקה'!$I$70)/365*12),(-FV('מודל כלכלי'!$C$20,(12+(('הנחות עסקה'!$D$71-'הנחות עסקה'!$D$72)*'הנחות עסקה'!$I$70)/365),,'מודל כלכלי'!$C$53))))+((0.07*(ROUND('מודל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כלכלי'!$C$24)^12,-4)))*0.5)))))+(-PV(חישובים!$D$21/12,(('הנחות עסקה'!$D$72*'הנחות עסקה'!$I$70)/365*12),(-FV('מודל כלכלי'!$C$20,(12+(('הנחות עסקה'!$D$71-'הנחות עסקה'!$D$72)*'הנחות עסקה'!$I$70)/365),,'מודל כלכלי'!$C$53)))))*היוון!$C$26)),ROUND('מודל כלכלי'!$C$59*(1+'מודל כלכלי'!$C$24)^12,-4)))*'מודל כלכלי'!$C$14+'מודל כלכלי'!$C$70,-3))+(ROUND(-FV(חישובים!$D$22,12*12,ROUND(ROUND('מודל כלכלי'!$C$53*(1+0.03)^((12-1)/2),-2)*'מודל כלכלי'!$C$54-'מודל כלכלי'!$C$21+'מודל כלכלי'!$C$48,-2)),-3))+(-'מודל כלכלי'!$C$45)+(-MAX(0,(IF('מודל כלכלי'!$C$26="פליפ",((-PV(חישובים!$D$21/12,(('הנחות עסקה'!$D$72*'הנחות עסקה'!$I$70)/365*12),(-FV('מודל כלכלי'!$C$20,(12+(('הנחות עסקה'!$D$71-'הנחות עסקה'!$D$72)*'הנחות עסקה'!$I$70)/365),,'מודל כלכלי'!$C$53))))+((0.07*(ROUND('מודל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כלכלי'!$C$24)^12,-4)))*0.5)))))+(-PV(חישובים!$D$21/12,(('הנחות עסקה'!$D$72*'הנחות עסקה'!$I$70)/365*12),(-FV('מודל כלכלי'!$C$20,(12+(('הנחות עסקה'!$D$71-'הנחות עסקה'!$D$72)*'הנחות עסקה'!$I$70)/365),,'מודל כלכלי'!$C$53)))))*היוון!$C$26)),ROUND('מודל כלכלי'!$C$59*(1+'מודל כלכלי'!$C$24)^12,-4)))-(חישובים!$D$28*(1+חישובים!$D$29)^12))*0.25),-4))+'מודל כלכלי'!$C$45)/'מודל כלכלי'!$C$45)^(1/12)-1</f>
        <v>0.14706146636760331</v>
      </c>
      <c r="J40" s="59">
        <f>(((ROUND((IF('מודל כלכלי'!$C$26="פליפ",((-PV(חישובים!$D$21/12,(('הנחות עסקה'!$D$72*'הנחות עסקה'!$I$70)/365*12),(-FV('מודל כלכלי'!$C$20,(13+(('הנחות עסקה'!$D$71-'הנחות עסקה'!$D$72)*'הנחות עסקה'!$I$70)/365),,'מודל כלכלי'!$C$53))))+((0.07*(ROUND('מודל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כלכלי'!$C$24)^13,-4)))*0.5)))))+(-PV(חישובים!$D$21/12,(('הנחות עסקה'!$D$72*'הנחות עסקה'!$I$70)/365*12),(-FV('מודל כלכלי'!$C$20,(13+(('הנחות עסקה'!$D$71-'הנחות עסקה'!$D$72)*'הנחות עסקה'!$I$70)/365),,'מודל כלכלי'!$C$53)))))*היוון!$C$26)),ROUND('מודל כלכלי'!$C$59*(1+'מודל כלכלי'!$C$24)^13,-4)))+(ROUND(FV('מודל כלכלי'!$C$17/12,13*12,'מודל כלכלי'!$C$48,'מודל כלכלי'!$C$46),-4))+(ROUND(-'מודל כלכלי'!$C$66*(IF('מודל כלכלי'!$C$26="פליפ",((-PV(חישובים!$D$21/12,(('הנחות עסקה'!$D$72*'הנחות עסקה'!$I$70)/365*12),(-FV('מודל כלכלי'!$C$20,(13+(('הנחות עסקה'!$D$71-'הנחות עסקה'!$D$72)*'הנחות עסקה'!$I$70)/365),,'מודל כלכלי'!$C$53))))+((0.07*(ROUND('מודל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כלכלי'!$C$24)^13,-4)))*0.5)))))+(-PV(חישובים!$D$21/12,(('הנחות עסקה'!$D$72*'הנחות עסקה'!$I$70)/365*12),(-FV('מודל כלכלי'!$C$20,(13+(('הנחות עסקה'!$D$71-'הנחות עסקה'!$D$72)*'הנחות עסקה'!$I$70)/365),,'מודל כלכלי'!$C$53)))))*היוון!$C$26)),ROUND('מודל כלכלי'!$C$59*(1+'מודל כלכלי'!$C$24)^13,-4)))*'מודל כלכלי'!$C$14-'מודל כלכלי'!$C$68*(IF('מודל כלכלי'!$C$26="פליפ",((-PV(חישובים!$D$21/12,(('הנחות עסקה'!$D$72*'הנחות עסקה'!$I$70)/365*12),(-FV('מודל כלכלי'!$C$20,(13+(('הנחות עסקה'!$D$71-'הנחות עסקה'!$D$72)*'הנחות עסקה'!$I$70)/365),,'מודל כלכלי'!$C$53))))+((0.07*(ROUND('מודל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כלכלי'!$C$24)^13,-4)))*0.5)))))+(-PV(חישובים!$D$21/12,(('הנחות עסקה'!$D$72*'הנחות עסקה'!$I$70)/365*12),(-FV('מודל כלכלי'!$C$20,(13+(('הנחות עסקה'!$D$71-'הנחות עסקה'!$D$72)*'הנחות עסקה'!$I$70)/365),,'מודל כלכלי'!$C$53)))))*היוון!$C$26)),ROUND('מודל כלכלי'!$C$59*(1+'מודל כלכלי'!$C$24)^13,-4)))*'מודל כלכלי'!$C$14+'מודל כלכלי'!$C$70,-3))+(ROUND(-FV(חישובים!$D$22,13*12,ROUND(ROUND('מודל כלכלי'!$C$53*(1+0.03)^((13-1)/2),-2)*'מודל כלכלי'!$C$54-'מודל כלכלי'!$C$21+'מודל כלכלי'!$C$48,-2)),-3))+(-'מודל כלכלי'!$C$45)+(-MAX(0,(IF('מודל כלכלי'!$C$26="פליפ",((-PV(חישובים!$D$21/12,(('הנחות עסקה'!$D$72*'הנחות עסקה'!$I$70)/365*12),(-FV('מודל כלכלי'!$C$20,(13+(('הנחות עסקה'!$D$71-'הנחות עסקה'!$D$72)*'הנחות עסקה'!$I$70)/365),,'מודל כלכלי'!$C$53))))+((0.07*(ROUND('מודל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כלכלי'!$C$24)^13,-4)))*0.5)))))+(-PV(חישובים!$D$21/12,(('הנחות עסקה'!$D$72*'הנחות עסקה'!$I$70)/365*12),(-FV('מודל כלכלי'!$C$20,(13+(('הנחות עסקה'!$D$71-'הנחות עסקה'!$D$72)*'הנחות עסקה'!$I$70)/365),,'מודל כלכלי'!$C$53)))))*היוון!$C$26)),ROUND('מודל כלכלי'!$C$59*(1+'מודל כלכלי'!$C$24)^13,-4)))-(חישובים!$D$28*(1+חישובים!$D$29)^13))*0.25),-4))+'מודל כלכלי'!$C$45)/'מודל כלכלי'!$C$45)^(1/13)-1</f>
        <v>0.14023535175863855</v>
      </c>
    </row>
    <row r="41" spans="2:10" ht="15" customHeight="1">
      <c r="B41" s="74">
        <v>0.04</v>
      </c>
      <c r="C41" s="59">
        <f>(((ROUND((IF('מודל כלכלי'!$C$26="פליפ",((-PV(חישובים!$D$21/12,(('הנחות עסקה'!$D$72*'הנחות עסקה'!$I$70)/365*12),(-FV('מודל כלכלי'!$C$20,(6+(('הנחות עסקה'!$D$71-'הנחות עסקה'!$D$72)*'הנחות עסקה'!$I$70)/365),,'מודל כלכלי'!$C$53))))+((0.07*(ROUND('מודל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כלכלי'!$C$24)^6,-4)))*0.5)))))+(-PV(חישובים!$D$21/12,(('הנחות עסקה'!$D$72*'הנחות עסקה'!$I$70)/365*12),(-FV('מודל כלכלי'!$C$20,(6+(('הנחות עסקה'!$D$71-'הנחות עסקה'!$D$72)*'הנחות עסקה'!$I$70)/365),,'מודל כלכלי'!$C$53)))))*היוון!$C$26)),ROUND('מודל כלכלי'!$C$59*(1+'מודל כלכלי'!$C$24)^6,-4)))+(ROUND(FV('מודל כלכלי'!$C$17/12,6*12,'מודל כלכלי'!$C$48,'מודל כלכלי'!$C$46),-4))+(ROUND(-'מודל כלכלי'!$C$66*(IF('מודל כלכלי'!$C$26="פליפ",((-PV(חישובים!$D$21/12,(('הנחות עסקה'!$D$72*'הנחות עסקה'!$I$70)/365*12),(-FV('מודל כלכלי'!$C$20,(6+(('הנחות עסקה'!$D$71-'הנחות עסקה'!$D$72)*'הנחות עסקה'!$I$70)/365),,'מודל כלכלי'!$C$53))))+((0.07*(ROUND('מודל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כלכלי'!$C$24)^6,-4)))*0.5)))))+(-PV(חישובים!$D$21/12,(('הנחות עסקה'!$D$72*'הנחות עסקה'!$I$70)/365*12),(-FV('מודל כלכלי'!$C$20,(6+(('הנחות עסקה'!$D$71-'הנחות עסקה'!$D$72)*'הנחות עסקה'!$I$70)/365),,'מודל כלכלי'!$C$53)))))*היוון!$C$26)),ROUND('מודל כלכלי'!$C$59*(1+'מודל כלכלי'!$C$24)^6,-4)))*'מודל כלכלי'!$C$14-'מודל כלכלי'!$C$68*(IF('מודל כלכלי'!$C$26="פליפ",((-PV(חישובים!$D$21/12,(('הנחות עסקה'!$D$72*'הנחות עסקה'!$I$70)/365*12),(-FV('מודל כלכלי'!$C$20,(6+(('הנחות עסקה'!$D$71-'הנחות עסקה'!$D$72)*'הנחות עסקה'!$I$70)/365),,'מודל כלכלי'!$C$53))))+((0.07*(ROUND('מודל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כלכלי'!$C$24)^6,-4)))*0.5)))))+(-PV(חישובים!$D$21/12,(('הנחות עסקה'!$D$72*'הנחות עסקה'!$I$70)/365*12),(-FV('מודל כלכלי'!$C$20,(6+(('הנחות עסקה'!$D$71-'הנחות עסקה'!$D$72)*'הנחות עסקה'!$I$70)/365),,'מודל כלכלי'!$C$53)))))*היוון!$C$26)),ROUND('מודל כלכלי'!$C$59*(1+'מודל כלכלי'!$C$24)^6,-4)))*'מודל כלכלי'!$C$14+'מודל כלכלי'!$C$70,-3))+(ROUND(-FV(חישובים!$D$22,6*12,ROUND(ROUND('מודל כלכלי'!$C$53*(1+0.04)^((6-1)/2),-2)*'מודל כלכלי'!$C$54-'מודל כלכלי'!$C$21+'מודל כלכלי'!$C$48,-2)),-3))+(-'מודל כלכלי'!$C$45)+(-MAX(0,(IF('מודל כלכלי'!$C$26="פליפ",((-PV(חישובים!$D$21/12,(('הנחות עסקה'!$D$72*'הנחות עסקה'!$I$70)/365*12),(-FV('מודל כלכלי'!$C$20,(6+(('הנחות עסקה'!$D$71-'הנחות עסקה'!$D$72)*'הנחות עסקה'!$I$70)/365),,'מודל כלכלי'!$C$53))))+((0.07*(ROUND('מודל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כלכלי'!$C$24)^6,-4)))*0.5)))))+(-PV(חישובים!$D$21/12,(('הנחות עסקה'!$D$72*'הנחות עסקה'!$I$70)/365*12),(-FV('מודל כלכלי'!$C$20,(6+(('הנחות עסקה'!$D$71-'הנחות עסקה'!$D$72)*'הנחות עסקה'!$I$70)/365),,'מודל כלכלי'!$C$53)))))*היוון!$C$26)),ROUND('מודל כלכלי'!$C$59*(1+'מודל כלכלי'!$C$24)^6,-4)))-(חישובים!$D$28*(1+חישובים!$D$29)^6))*0.25),-4))+'מודל כלכלי'!$C$45)/'מודל כלכלי'!$C$45)^(1/6)-1</f>
        <v>0.23683294705214419</v>
      </c>
      <c r="D41" s="59">
        <f>(((ROUND((IF('מודל כלכלי'!$C$26="פליפ",((-PV(חישובים!$D$21/12,(('הנחות עסקה'!$D$72*'הנחות עסקה'!$I$70)/365*12),(-FV('מודל כלכלי'!$C$20,(7+(('הנחות עסקה'!$D$71-'הנחות עסקה'!$D$72)*'הנחות עסקה'!$I$70)/365),,'מודל כלכלי'!$C$53))))+((0.07*(ROUND('מודל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כלכלי'!$C$24)^7,-4)))*0.5)))))+(-PV(חישובים!$D$21/12,(('הנחות עסקה'!$D$72*'הנחות עסקה'!$I$70)/365*12),(-FV('מודל כלכלי'!$C$20,(7+(('הנחות עסקה'!$D$71-'הנחות עסקה'!$D$72)*'הנחות עסקה'!$I$70)/365),,'מודל כלכלי'!$C$53)))))*היוון!$C$26)),ROUND('מודל כלכלי'!$C$59*(1+'מודל כלכלי'!$C$24)^7,-4)))+(ROUND(FV('מודל כלכלי'!$C$17/12,7*12,'מודל כלכלי'!$C$48,'מודל כלכלי'!$C$46),-4))+(ROUND(-'מודל כלכלי'!$C$66*(IF('מודל כלכלי'!$C$26="פליפ",((-PV(חישובים!$D$21/12,(('הנחות עסקה'!$D$72*'הנחות עסקה'!$I$70)/365*12),(-FV('מודל כלכלי'!$C$20,(7+(('הנחות עסקה'!$D$71-'הנחות עסקה'!$D$72)*'הנחות עסקה'!$I$70)/365),,'מודל כלכלי'!$C$53))))+((0.07*(ROUND('מודל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כלכלי'!$C$24)^7,-4)))*0.5)))))+(-PV(חישובים!$D$21/12,(('הנחות עסקה'!$D$72*'הנחות עסקה'!$I$70)/365*12),(-FV('מודל כלכלי'!$C$20,(7+(('הנחות עסקה'!$D$71-'הנחות עסקה'!$D$72)*'הנחות עסקה'!$I$70)/365),,'מודל כלכלי'!$C$53)))))*היוון!$C$26)),ROUND('מודל כלכלי'!$C$59*(1+'מודל כלכלי'!$C$24)^7,-4)))*'מודל כלכלי'!$C$14-'מודל כלכלי'!$C$68*(IF('מודל כלכלי'!$C$26="פליפ",((-PV(חישובים!$D$21/12,(('הנחות עסקה'!$D$72*'הנחות עסקה'!$I$70)/365*12),(-FV('מודל כלכלי'!$C$20,(7+(('הנחות עסקה'!$D$71-'הנחות עסקה'!$D$72)*'הנחות עסקה'!$I$70)/365),,'מודל כלכלי'!$C$53))))+((0.07*(ROUND('מודל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כלכלי'!$C$24)^7,-4)))*0.5)))))+(-PV(חישובים!$D$21/12,(('הנחות עסקה'!$D$72*'הנחות עסקה'!$I$70)/365*12),(-FV('מודל כלכלי'!$C$20,(7+(('הנחות עסקה'!$D$71-'הנחות עסקה'!$D$72)*'הנחות עסקה'!$I$70)/365),,'מודל כלכלי'!$C$53)))))*היוון!$C$26)),ROUND('מודל כלכלי'!$C$59*(1+'מודל כלכלי'!$C$24)^7,-4)))*'מודל כלכלי'!$C$14+'מודל כלכלי'!$C$70,-3))+(ROUND(-FV(חישובים!$D$22,7*12,ROUND(ROUND('מודל כלכלי'!$C$53*(1+0.04)^((7-1)/2),-2)*'מודל כלכלי'!$C$54-'מודל כלכלי'!$C$21+'מודל כלכלי'!$C$48,-2)),-3))+(-'מודל כלכלי'!$C$45)+(-MAX(0,(IF('מודל כלכלי'!$C$26="פליפ",((-PV(חישובים!$D$21/12,(('הנחות עסקה'!$D$72*'הנחות עסקה'!$I$70)/365*12),(-FV('מודל כלכלי'!$C$20,(7+(('הנחות עסקה'!$D$71-'הנחות עסקה'!$D$72)*'הנחות עסקה'!$I$70)/365),,'מודל כלכלי'!$C$53))))+((0.07*(ROUND('מודל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כלכלי'!$C$24)^7,-4)))*0.5)))))+(-PV(חישובים!$D$21/12,(('הנחות עסקה'!$D$72*'הנחות עסקה'!$I$70)/365*12),(-FV('מודל כלכלי'!$C$20,(7+(('הנחות עסקה'!$D$71-'הנחות עסקה'!$D$72)*'הנחות עסקה'!$I$70)/365),,'מודל כלכלי'!$C$53)))))*היוון!$C$26)),ROUND('מודל כלכלי'!$C$59*(1+'מודל כלכלי'!$C$24)^7,-4)))-(חישובים!$D$28*(1+חישובים!$D$29)^7))*0.25),-4))+'מודל כלכלי'!$C$45)/'מודל כלכלי'!$C$45)^(1/7)-1</f>
        <v>0.21114264965564278</v>
      </c>
      <c r="E41" s="59">
        <f>(((ROUND((IF('מודל כלכלי'!$C$26="פליפ",((-PV(חישובים!$D$21/12,(('הנחות עסקה'!$D$72*'הנחות עסקה'!$I$70)/365*12),(-FV('מודל כלכלי'!$C$20,(8+(('הנחות עסקה'!$D$71-'הנחות עסקה'!$D$72)*'הנחות עסקה'!$I$70)/365),,'מודל כלכלי'!$C$53))))+((0.07*(ROUND('מודל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כלכלי'!$C$24)^8,-4)))*0.5)))))+(-PV(חישובים!$D$21/12,(('הנחות עסקה'!$D$72*'הנחות עסקה'!$I$70)/365*12),(-FV('מודל כלכלי'!$C$20,(8+(('הנחות עסקה'!$D$71-'הנחות עסקה'!$D$72)*'הנחות עסקה'!$I$70)/365),,'מודל כלכלי'!$C$53)))))*היוון!$C$26)),ROUND('מודל כלכלי'!$C$59*(1+'מודל כלכלי'!$C$24)^8,-4)))+(ROUND(FV('מודל כלכלי'!$C$17/12,8*12,'מודל כלכלי'!$C$48,'מודל כלכלי'!$C$46),-4))+(ROUND(-'מודל כלכלי'!$C$66*(IF('מודל כלכלי'!$C$26="פליפ",((-PV(חישובים!$D$21/12,(('הנחות עסקה'!$D$72*'הנחות עסקה'!$I$70)/365*12),(-FV('מודל כלכלי'!$C$20,(8+(('הנחות עסקה'!$D$71-'הנחות עסקה'!$D$72)*'הנחות עסקה'!$I$70)/365),,'מודל כלכלי'!$C$53))))+((0.07*(ROUND('מודל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כלכלי'!$C$24)^8,-4)))*0.5)))))+(-PV(חישובים!$D$21/12,(('הנחות עסקה'!$D$72*'הנחות עסקה'!$I$70)/365*12),(-FV('מודל כלכלי'!$C$20,(8+(('הנחות עסקה'!$D$71-'הנחות עסקה'!$D$72)*'הנחות עסקה'!$I$70)/365),,'מודל כלכלי'!$C$53)))))*היוון!$C$26)),ROUND('מודל כלכלי'!$C$59*(1+'מודל כלכלי'!$C$24)^8,-4)))*'מודל כלכלי'!$C$14-'מודל כלכלי'!$C$68*(IF('מודל כלכלי'!$C$26="פליפ",((-PV(חישובים!$D$21/12,(('הנחות עסקה'!$D$72*'הנחות עסקה'!$I$70)/365*12),(-FV('מודל כלכלי'!$C$20,(8+(('הנחות עסקה'!$D$71-'הנחות עסקה'!$D$72)*'הנחות עסקה'!$I$70)/365),,'מודל כלכלי'!$C$53))))+((0.07*(ROUND('מודל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כלכלי'!$C$24)^8,-4)))*0.5)))))+(-PV(חישובים!$D$21/12,(('הנחות עסקה'!$D$72*'הנחות עסקה'!$I$70)/365*12),(-FV('מודל כלכלי'!$C$20,(8+(('הנחות עסקה'!$D$71-'הנחות עסקה'!$D$72)*'הנחות עסקה'!$I$70)/365),,'מודל כלכלי'!$C$53)))))*היוון!$C$26)),ROUND('מודל כלכלי'!$C$59*(1+'מודל כלכלי'!$C$24)^8,-4)))*'מודל כלכלי'!$C$14+'מודל כלכלי'!$C$70,-3))+(ROUND(-FV(חישובים!$D$22,8*12,ROUND(ROUND('מודל כלכלי'!$C$53*(1+0.04)^((8-1)/2),-2)*'מודל כלכלי'!$C$54-'מודל כלכלי'!$C$21+'מודל כלכלי'!$C$48,-2)),-3))+(-'מודל כלכלי'!$C$45)+(-MAX(0,(IF('מודל כלכלי'!$C$26="פליפ",((-PV(חישובים!$D$21/12,(('הנחות עסקה'!$D$72*'הנחות עסקה'!$I$70)/365*12),(-FV('מודל כלכלי'!$C$20,(8+(('הנחות עסקה'!$D$71-'הנחות עסקה'!$D$72)*'הנחות עסקה'!$I$70)/365),,'מודל כלכלי'!$C$53))))+((0.07*(ROUND('מודל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כלכלי'!$C$24)^8,-4)))*0.5)))))+(-PV(חישובים!$D$21/12,(('הנחות עסקה'!$D$72*'הנחות עסקה'!$I$70)/365*12),(-FV('מודל כלכלי'!$C$20,(8+(('הנחות עסקה'!$D$71-'הנחות עסקה'!$D$72)*'הנחות עסקה'!$I$70)/365),,'מודל כלכלי'!$C$53)))))*היוון!$C$26)),ROUND('מודל כלכלי'!$C$59*(1+'מודל כלכלי'!$C$24)^8,-4)))-(חישובים!$D$28*(1+חישובים!$D$29)^8))*0.25),-4))+'מודל כלכלי'!$C$45)/'מודל כלכלי'!$C$45)^(1/8)-1</f>
        <v>0.19273179654706096</v>
      </c>
      <c r="F41" s="59">
        <f>(((ROUND((IF('מודל כלכלי'!$C$26="פליפ",((-PV(חישובים!$D$21/12,(('הנחות עסקה'!$D$72*'הנחות עסקה'!$I$70)/365*12),(-FV('מודל כלכלי'!$C$20,(9+(('הנחות עסקה'!$D$71-'הנחות עסקה'!$D$72)*'הנחות עסקה'!$I$70)/365),,'מודל כלכלי'!$C$53))))+((0.07*(ROUND('מודל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כלכלי'!$C$24)^9,-4)))*0.5)))))+(-PV(חישובים!$D$21/12,(('הנחות עסקה'!$D$72*'הנחות עסקה'!$I$70)/365*12),(-FV('מודל כלכלי'!$C$20,(9+(('הנחות עסקה'!$D$71-'הנחות עסקה'!$D$72)*'הנחות עסקה'!$I$70)/365),,'מודל כלכלי'!$C$53)))))*היוון!$C$26)),ROUND('מודל כלכלי'!$C$59*(1+'מודל כלכלי'!$C$24)^9,-4)))+(ROUND(FV('מודל כלכלי'!$C$17/12,9*12,'מודל כלכלי'!$C$48,'מודל כלכלי'!$C$46),-4))+(ROUND(-'מודל כלכלי'!$C$66*(IF('מודל כלכלי'!$C$26="פליפ",((-PV(חישובים!$D$21/12,(('הנחות עסקה'!$D$72*'הנחות עסקה'!$I$70)/365*12),(-FV('מודל כלכלי'!$C$20,(9+(('הנחות עסקה'!$D$71-'הנחות עסקה'!$D$72)*'הנחות עסקה'!$I$70)/365),,'מודל כלכלי'!$C$53))))+((0.07*(ROUND('מודל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כלכלי'!$C$24)^9,-4)))*0.5)))))+(-PV(חישובים!$D$21/12,(('הנחות עסקה'!$D$72*'הנחות עסקה'!$I$70)/365*12),(-FV('מודל כלכלי'!$C$20,(9+(('הנחות עסקה'!$D$71-'הנחות עסקה'!$D$72)*'הנחות עסקה'!$I$70)/365),,'מודל כלכלי'!$C$53)))))*היוון!$C$26)),ROUND('מודל כלכלי'!$C$59*(1+'מודל כלכלי'!$C$24)^9,-4)))*'מודל כלכלי'!$C$14-'מודל כלכלי'!$C$68*(IF('מודל כלכלי'!$C$26="פליפ",((-PV(חישובים!$D$21/12,(('הנחות עסקה'!$D$72*'הנחות עסקה'!$I$70)/365*12),(-FV('מודל כלכלי'!$C$20,(9+(('הנחות עסקה'!$D$71-'הנחות עסקה'!$D$72)*'הנחות עסקה'!$I$70)/365),,'מודל כלכלי'!$C$53))))+((0.07*(ROUND('מודל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כלכלי'!$C$24)^9,-4)))*0.5)))))+(-PV(חישובים!$D$21/12,(('הנחות עסקה'!$D$72*'הנחות עסקה'!$I$70)/365*12),(-FV('מודל כלכלי'!$C$20,(9+(('הנחות עסקה'!$D$71-'הנחות עסקה'!$D$72)*'הנחות עסקה'!$I$70)/365),,'מודל כלכלי'!$C$53)))))*היוון!$C$26)),ROUND('מודל כלכלי'!$C$59*(1+'מודל כלכלי'!$C$24)^9,-4)))*'מודל כלכלי'!$C$14+'מודל כלכלי'!$C$70,-3))+(ROUND(-FV(חישובים!$D$22,9*12,ROUND(ROUND('מודל כלכלי'!$C$53*(1+0.04)^((9-1)/2),-2)*'מודל כלכלי'!$C$54-'מודל כלכלי'!$C$21+'מודל כלכלי'!$C$48,-2)),-3))+(-'מודל כלכלי'!$C$45)+(-MAX(0,(IF('מודל כלכלי'!$C$26="פליפ",((-PV(חישובים!$D$21/12,(('הנחות עסקה'!$D$72*'הנחות עסקה'!$I$70)/365*12),(-FV('מודל כלכלי'!$C$20,(9+(('הנחות עסקה'!$D$71-'הנחות עסקה'!$D$72)*'הנחות עסקה'!$I$70)/365),,'מודל כלכלי'!$C$53))))+((0.07*(ROUND('מודל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כלכלי'!$C$24)^9,-4)))*0.5)))))+(-PV(חישובים!$D$21/12,(('הנחות עסקה'!$D$72*'הנחות עסקה'!$I$70)/365*12),(-FV('מודל כלכלי'!$C$20,(9+(('הנחות עסקה'!$D$71-'הנחות עסקה'!$D$72)*'הנחות עסקה'!$I$70)/365),,'מודל כלכלי'!$C$53)))))*היוון!$C$26)),ROUND('מודל כלכלי'!$C$59*(1+'מודל כלכלי'!$C$24)^9,-4)))-(חישובים!$D$28*(1+חישובים!$D$29)^9))*0.25),-4))+'מודל כלכלי'!$C$45)/'מודל כלכלי'!$C$45)^(1/9)-1</f>
        <v>0.17802231639593846</v>
      </c>
      <c r="G41" s="59">
        <f>(((ROUND((IF('מודל כלכלי'!$C$26="פליפ",((-PV(חישובים!$D$21/12,(('הנחות עסקה'!$D$72*'הנחות עסקה'!$I$70)/365*12),(-FV('מודל כלכלי'!$C$20,(10+(('הנחות עסקה'!$D$71-'הנחות עסקה'!$D$72)*'הנחות עסקה'!$I$70)/365),,'מודל כלכלי'!$C$53))))+((0.07*(ROUND('מודל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כלכלי'!$C$24)^10,-4)))*0.5)))))+(-PV(חישובים!$D$21/12,(('הנחות עסקה'!$D$72*'הנחות עסקה'!$I$70)/365*12),(-FV('מודל כלכלי'!$C$20,(10+(('הנחות עסקה'!$D$71-'הנחות עסקה'!$D$72)*'הנחות עסקה'!$I$70)/365),,'מודל כלכלי'!$C$53)))))*היוון!$C$26)),ROUND('מודל כלכלי'!$C$59*(1+'מודל כלכלי'!$C$24)^10,-4)))+(ROUND(FV('מודל כלכלי'!$C$17/12,10*12,'מודל כלכלי'!$C$48,'מודל כלכלי'!$C$46),-4))+(ROUND(-'מודל כלכלי'!$C$66*(IF('מודל כלכלי'!$C$26="פליפ",((-PV(חישובים!$D$21/12,(('הנחות עסקה'!$D$72*'הנחות עסקה'!$I$70)/365*12),(-FV('מודל כלכלי'!$C$20,(10+(('הנחות עסקה'!$D$71-'הנחות עסקה'!$D$72)*'הנחות עסקה'!$I$70)/365),,'מודל כלכלי'!$C$53))))+((0.07*(ROUND('מודל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כלכלי'!$C$24)^10,-4)))*0.5)))))+(-PV(חישובים!$D$21/12,(('הנחות עסקה'!$D$72*'הנחות עסקה'!$I$70)/365*12),(-FV('מודל כלכלי'!$C$20,(10+(('הנחות עסקה'!$D$71-'הנחות עסקה'!$D$72)*'הנחות עסקה'!$I$70)/365),,'מודל כלכלי'!$C$53)))))*היוון!$C$26)),ROUND('מודל כלכלי'!$C$59*(1+'מודל כלכלי'!$C$24)^10,-4)))*'מודל כלכלי'!$C$14-'מודל כלכלי'!$C$68*(IF('מודל כלכלי'!$C$26="פליפ",((-PV(חישובים!$D$21/12,(('הנחות עסקה'!$D$72*'הנחות עסקה'!$I$70)/365*12),(-FV('מודל כלכלי'!$C$20,(10+(('הנחות עסקה'!$D$71-'הנחות עסקה'!$D$72)*'הנחות עסקה'!$I$70)/365),,'מודל כלכלי'!$C$53))))+((0.07*(ROUND('מודל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כלכלי'!$C$24)^10,-4)))*0.5)))))+(-PV(חישובים!$D$21/12,(('הנחות עסקה'!$D$72*'הנחות עסקה'!$I$70)/365*12),(-FV('מודל כלכלי'!$C$20,(10+(('הנחות עסקה'!$D$71-'הנחות עסקה'!$D$72)*'הנחות עסקה'!$I$70)/365),,'מודל כלכלי'!$C$53)))))*היוון!$C$26)),ROUND('מודל כלכלי'!$C$59*(1+'מודל כלכלי'!$C$24)^10,-4)))*'מודל כלכלי'!$C$14+'מודל כלכלי'!$C$70,-3))+(ROUND(-FV(חישובים!$D$22,10*12,ROUND(ROUND('מודל כלכלי'!$C$53*(1+0.04)^((10-1)/2),-2)*'מודל כלכלי'!$C$54-'מודל כלכלי'!$C$21+'מודל כלכלי'!$C$48,-2)),-3))+(-'מודל כלכלי'!$C$45)+(-MAX(0,(IF('מודל כלכלי'!$C$26="פליפ",((-PV(חישובים!$D$21/12,(('הנחות עסקה'!$D$72*'הנחות עסקה'!$I$70)/365*12),(-FV('מודל כלכלי'!$C$20,(10+(('הנחות עסקה'!$D$71-'הנחות עסקה'!$D$72)*'הנחות עסקה'!$I$70)/365),,'מודל כלכלי'!$C$53))))+((0.07*(ROUND('מודל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כלכלי'!$C$24)^10,-4)))*0.5)))))+(-PV(חישובים!$D$21/12,(('הנחות עסקה'!$D$72*'הנחות עסקה'!$I$70)/365*12),(-FV('מודל כלכלי'!$C$20,(10+(('הנחות עסקה'!$D$71-'הנחות עסקה'!$D$72)*'הנחות עסקה'!$I$70)/365),,'מודל כלכלי'!$C$53)))))*היוון!$C$26)),ROUND('מודל כלכלי'!$C$59*(1+'מודל כלכלי'!$C$24)^10,-4)))-(חישובים!$D$28*(1+חישובים!$D$29)^10))*0.25),-4))+'מודל כלכלי'!$C$45)/'מודל כלכלי'!$C$45)^(1/10)-1</f>
        <v>0.16630929035088293</v>
      </c>
      <c r="H41" s="59">
        <f>(((ROUND((IF('מודל כלכלי'!$C$26="פליפ",((-PV(חישובים!$D$21/12,(('הנחות עסקה'!$D$72*'הנחות עסקה'!$I$70)/365*12),(-FV('מודל כלכלי'!$C$20,(11+(('הנחות עסקה'!$D$71-'הנחות עסקה'!$D$72)*'הנחות עסקה'!$I$70)/365),,'מודל כלכלי'!$C$53))))+((0.07*(ROUND('מודל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כלכלי'!$C$24)^11,-4)))*0.5)))))+(-PV(חישובים!$D$21/12,(('הנחות עסקה'!$D$72*'הנחות עסקה'!$I$70)/365*12),(-FV('מודל כלכלי'!$C$20,(11+(('הנחות עסקה'!$D$71-'הנחות עסקה'!$D$72)*'הנחות עסקה'!$I$70)/365),,'מודל כלכלי'!$C$53)))))*היוון!$C$26)),ROUND('מודל כלכלי'!$C$59*(1+'מודל כלכלי'!$C$24)^11,-4)))+(ROUND(FV('מודל כלכלי'!$C$17/12,11*12,'מודל כלכלי'!$C$48,'מודל כלכלי'!$C$46),-4))+(ROUND(-'מודל כלכלי'!$C$66*(IF('מודל כלכלי'!$C$26="פליפ",((-PV(חישובים!$D$21/12,(('הנחות עסקה'!$D$72*'הנחות עסקה'!$I$70)/365*12),(-FV('מודל כלכלי'!$C$20,(11+(('הנחות עסקה'!$D$71-'הנחות עסקה'!$D$72)*'הנחות עסקה'!$I$70)/365),,'מודל כלכלי'!$C$53))))+((0.07*(ROUND('מודל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כלכלי'!$C$24)^11,-4)))*0.5)))))+(-PV(חישובים!$D$21/12,(('הנחות עסקה'!$D$72*'הנחות עסקה'!$I$70)/365*12),(-FV('מודל כלכלי'!$C$20,(11+(('הנחות עסקה'!$D$71-'הנחות עסקה'!$D$72)*'הנחות עסקה'!$I$70)/365),,'מודל כלכלי'!$C$53)))))*היוון!$C$26)),ROUND('מודל כלכלי'!$C$59*(1+'מודל כלכלי'!$C$24)^11,-4)))*'מודל כלכלי'!$C$14-'מודל כלכלי'!$C$68*(IF('מודל כלכלי'!$C$26="פליפ",((-PV(חישובים!$D$21/12,(('הנחות עסקה'!$D$72*'הנחות עסקה'!$I$70)/365*12),(-FV('מודל כלכלי'!$C$20,(11+(('הנחות עסקה'!$D$71-'הנחות עסקה'!$D$72)*'הנחות עסקה'!$I$70)/365),,'מודל כלכלי'!$C$53))))+((0.07*(ROUND('מודל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כלכלי'!$C$24)^11,-4)))*0.5)))))+(-PV(חישובים!$D$21/12,(('הנחות עסקה'!$D$72*'הנחות עסקה'!$I$70)/365*12),(-FV('מודל כלכלי'!$C$20,(11+(('הנחות עסקה'!$D$71-'הנחות עסקה'!$D$72)*'הנחות עסקה'!$I$70)/365),,'מודל כלכלי'!$C$53)))))*היוון!$C$26)),ROUND('מודל כלכלי'!$C$59*(1+'מודל כלכלי'!$C$24)^11,-4)))*'מודל כלכלי'!$C$14+'מודל כלכלי'!$C$70,-3))+(ROUND(-FV(חישובים!$D$22,11*12,ROUND(ROUND('מודל כלכלי'!$C$53*(1+0.04)^((11-1)/2),-2)*'מודל כלכלי'!$C$54-'מודל כלכלי'!$C$21+'מודל כלכלי'!$C$48,-2)),-3))+(-'מודל כלכלי'!$C$45)+(-MAX(0,(IF('מודל כלכלי'!$C$26="פליפ",((-PV(חישובים!$D$21/12,(('הנחות עסקה'!$D$72*'הנחות עסקה'!$I$70)/365*12),(-FV('מודל כלכלי'!$C$20,(11+(('הנחות עסקה'!$D$71-'הנחות עסקה'!$D$72)*'הנחות עסקה'!$I$70)/365),,'מודל כלכלי'!$C$53))))+((0.07*(ROUND('מודל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כלכלי'!$C$24)^11,-4)))*0.5)))))+(-PV(חישובים!$D$21/12,(('הנחות עסקה'!$D$72*'הנחות עסקה'!$I$70)/365*12),(-FV('מודל כלכלי'!$C$20,(11+(('הנחות עסקה'!$D$71-'הנחות עסקה'!$D$72)*'הנחות עסקה'!$I$70)/365),,'מודל כלכלי'!$C$53)))))*היוון!$C$26)),ROUND('מודל כלכלי'!$C$59*(1+'מודל כלכלי'!$C$24)^11,-4)))-(חישובים!$D$28*(1+חישובים!$D$29)^11))*0.25),-4))+'מודל כלכלי'!$C$45)/'מודל כלכלי'!$C$45)^(1/11)-1</f>
        <v>0.15705216491642893</v>
      </c>
      <c r="I41" s="59">
        <f>(((ROUND((IF('מודל כלכלי'!$C$26="פליפ",((-PV(חישובים!$D$21/12,(('הנחות עסקה'!$D$72*'הנחות עסקה'!$I$70)/365*12),(-FV('מודל כלכלי'!$C$20,(12+(('הנחות עסקה'!$D$71-'הנחות עסקה'!$D$72)*'הנחות עסקה'!$I$70)/365),,'מודל כלכלי'!$C$53))))+((0.07*(ROUND('מודל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כלכלי'!$C$24)^12,-4)))*0.5)))))+(-PV(חישובים!$D$21/12,(('הנחות עסקה'!$D$72*'הנחות עסקה'!$I$70)/365*12),(-FV('מודל כלכלי'!$C$20,(12+(('הנחות עסקה'!$D$71-'הנחות עסקה'!$D$72)*'הנחות עסקה'!$I$70)/365),,'מודל כלכלי'!$C$53)))))*היוון!$C$26)),ROUND('מודל כלכלי'!$C$59*(1+'מודל כלכלי'!$C$24)^12,-4)))+(ROUND(FV('מודל כלכלי'!$C$17/12,12*12,'מודל כלכלי'!$C$48,'מודל כלכלי'!$C$46),-4))+(ROUND(-'מודל כלכלי'!$C$66*(IF('מודל כלכלי'!$C$26="פליפ",((-PV(חישובים!$D$21/12,(('הנחות עסקה'!$D$72*'הנחות עסקה'!$I$70)/365*12),(-FV('מודל כלכלי'!$C$20,(12+(('הנחות עסקה'!$D$71-'הנחות עסקה'!$D$72)*'הנחות עסקה'!$I$70)/365),,'מודל כלכלי'!$C$53))))+((0.07*(ROUND('מודל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כלכלי'!$C$24)^12,-4)))*0.5)))))+(-PV(חישובים!$D$21/12,(('הנחות עסקה'!$D$72*'הנחות עסקה'!$I$70)/365*12),(-FV('מודל כלכלי'!$C$20,(12+(('הנחות עסקה'!$D$71-'הנחות עסקה'!$D$72)*'הנחות עסקה'!$I$70)/365),,'מודל כלכלי'!$C$53)))))*היוון!$C$26)),ROUND('מודל כלכלי'!$C$59*(1+'מודל כלכלי'!$C$24)^12,-4)))*'מודל כלכלי'!$C$14-'מודל כלכלי'!$C$68*(IF('מודל כלכלי'!$C$26="פליפ",((-PV(חישובים!$D$21/12,(('הנחות עסקה'!$D$72*'הנחות עסקה'!$I$70)/365*12),(-FV('מודל כלכלי'!$C$20,(12+(('הנחות עסקה'!$D$71-'הנחות עסקה'!$D$72)*'הנחות עסקה'!$I$70)/365),,'מודל כלכלי'!$C$53))))+((0.07*(ROUND('מודל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כלכלי'!$C$24)^12,-4)))*0.5)))))+(-PV(חישובים!$D$21/12,(('הנחות עסקה'!$D$72*'הנחות עסקה'!$I$70)/365*12),(-FV('מודל כלכלי'!$C$20,(12+(('הנחות עסקה'!$D$71-'הנחות עסקה'!$D$72)*'הנחות עסקה'!$I$70)/365),,'מודל כלכלי'!$C$53)))))*היוון!$C$26)),ROUND('מודל כלכלי'!$C$59*(1+'מודל כלכלי'!$C$24)^12,-4)))*'מודל כלכלי'!$C$14+'מודל כלכלי'!$C$70,-3))+(ROUND(-FV(חישובים!$D$22,12*12,ROUND(ROUND('מודל כלכלי'!$C$53*(1+0.04)^((12-1)/2),-2)*'מודל כלכלי'!$C$54-'מודל כלכלי'!$C$21+'מודל כלכלי'!$C$48,-2)),-3))+(-'מודל כלכלי'!$C$45)+(-MAX(0,(IF('מודל כלכלי'!$C$26="פליפ",((-PV(חישובים!$D$21/12,(('הנחות עסקה'!$D$72*'הנחות עסקה'!$I$70)/365*12),(-FV('מודל כלכלי'!$C$20,(12+(('הנחות עסקה'!$D$71-'הנחות עסקה'!$D$72)*'הנחות עסקה'!$I$70)/365),,'מודל כלכלי'!$C$53))))+((0.07*(ROUND('מודל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כלכלי'!$C$24)^12,-4)))*0.5)))))+(-PV(חישובים!$D$21/12,(('הנחות עסקה'!$D$72*'הנחות עסקה'!$I$70)/365*12),(-FV('מודל כלכלי'!$C$20,(12+(('הנחות עסקה'!$D$71-'הנחות עסקה'!$D$72)*'הנחות עסקה'!$I$70)/365),,'מודל כלכלי'!$C$53)))))*היוון!$C$26)),ROUND('מודל כלכלי'!$C$59*(1+'מודל כלכלי'!$C$24)^12,-4)))-(חישובים!$D$28*(1+חישובים!$D$29)^12))*0.25),-4))+'מודל כלכלי'!$C$45)/'מודל כלכלי'!$C$45)^(1/12)-1</f>
        <v>0.14845010417943061</v>
      </c>
      <c r="J41" s="59">
        <f>(((ROUND((IF('מודל כלכלי'!$C$26="פליפ",((-PV(חישובים!$D$21/12,(('הנחות עסקה'!$D$72*'הנחות עסקה'!$I$70)/365*12),(-FV('מודל כלכלי'!$C$20,(13+(('הנחות עסקה'!$D$71-'הנחות עסקה'!$D$72)*'הנחות עסקה'!$I$70)/365),,'מודל כלכלי'!$C$53))))+((0.07*(ROUND('מודל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כלכלי'!$C$24)^13,-4)))*0.5)))))+(-PV(חישובים!$D$21/12,(('הנחות עסקה'!$D$72*'הנחות עסקה'!$I$70)/365*12),(-FV('מודל כלכלי'!$C$20,(13+(('הנחות עסקה'!$D$71-'הנחות עסקה'!$D$72)*'הנחות עסקה'!$I$70)/365),,'מודל כלכלי'!$C$53)))))*היוון!$C$26)),ROUND('מודל כלכלי'!$C$59*(1+'מודל כלכלי'!$C$24)^13,-4)))+(ROUND(FV('מודל כלכלי'!$C$17/12,13*12,'מודל כלכלי'!$C$48,'מודל כלכלי'!$C$46),-4))+(ROUND(-'מודל כלכלי'!$C$66*(IF('מודל כלכלי'!$C$26="פליפ",((-PV(חישובים!$D$21/12,(('הנחות עסקה'!$D$72*'הנחות עסקה'!$I$70)/365*12),(-FV('מודל כלכלי'!$C$20,(13+(('הנחות עסקה'!$D$71-'הנחות עסקה'!$D$72)*'הנחות עסקה'!$I$70)/365),,'מודל כלכלי'!$C$53))))+((0.07*(ROUND('מודל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כלכלי'!$C$24)^13,-4)))*0.5)))))+(-PV(חישובים!$D$21/12,(('הנחות עסקה'!$D$72*'הנחות עסקה'!$I$70)/365*12),(-FV('מודל כלכלי'!$C$20,(13+(('הנחות עסקה'!$D$71-'הנחות עסקה'!$D$72)*'הנחות עסקה'!$I$70)/365),,'מודל כלכלי'!$C$53)))))*היוון!$C$26)),ROUND('מודל כלכלי'!$C$59*(1+'מודל כלכלי'!$C$24)^13,-4)))*'מודל כלכלי'!$C$14-'מודל כלכלי'!$C$68*(IF('מודל כלכלי'!$C$26="פליפ",((-PV(חישובים!$D$21/12,(('הנחות עסקה'!$D$72*'הנחות עסקה'!$I$70)/365*12),(-FV('מודל כלכלי'!$C$20,(13+(('הנחות עסקה'!$D$71-'הנחות עסקה'!$D$72)*'הנחות עסקה'!$I$70)/365),,'מודל כלכלי'!$C$53))))+((0.07*(ROUND('מודל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כלכלי'!$C$24)^13,-4)))*0.5)))))+(-PV(חישובים!$D$21/12,(('הנחות עסקה'!$D$72*'הנחות עסקה'!$I$70)/365*12),(-FV('מודל כלכלי'!$C$20,(13+(('הנחות עסקה'!$D$71-'הנחות עסקה'!$D$72)*'הנחות עסקה'!$I$70)/365),,'מודל כלכלי'!$C$53)))))*היוון!$C$26)),ROUND('מודל כלכלי'!$C$59*(1+'מודל כלכלי'!$C$24)^13,-4)))*'מודל כלכלי'!$C$14+'מודל כלכלי'!$C$70,-3))+(ROUND(-FV(חישובים!$D$22,13*12,ROUND(ROUND('מודל כלכלי'!$C$53*(1+0.04)^((13-1)/2),-2)*'מודל כלכלי'!$C$54-'מודל כלכלי'!$C$21+'מודל כלכלי'!$C$48,-2)),-3))+(-'מודל כלכלי'!$C$45)+(-MAX(0,(IF('מודל כלכלי'!$C$26="פליפ",((-PV(חישובים!$D$21/12,(('הנחות עסקה'!$D$72*'הנחות עסקה'!$I$70)/365*12),(-FV('מודל כלכלי'!$C$20,(13+(('הנחות עסקה'!$D$71-'הנחות עסקה'!$D$72)*'הנחות עסקה'!$I$70)/365),,'מודל כלכלי'!$C$53))))+((0.07*(ROUND('מודל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כלכלי'!$C$24)^13,-4)))*0.5)))))+(-PV(חישובים!$D$21/12,(('הנחות עסקה'!$D$72*'הנחות עסקה'!$I$70)/365*12),(-FV('מודל כלכלי'!$C$20,(13+(('הנחות עסקה'!$D$71-'הנחות עסקה'!$D$72)*'הנחות עסקה'!$I$70)/365),,'מודל כלכלי'!$C$53)))))*היוון!$C$26)),ROUND('מודל כלכלי'!$C$59*(1+'מודל כלכלי'!$C$24)^13,-4)))-(חישובים!$D$28*(1+חישובים!$D$29)^13))*0.25),-4))+'מודל כלכלי'!$C$45)/'מודל כלכלי'!$C$45)^(1/13)-1</f>
        <v>0.14191234778749995</v>
      </c>
    </row>
    <row r="42" spans="2:10" ht="15" customHeight="1">
      <c r="B42" s="74">
        <v>0.06</v>
      </c>
      <c r="C42" s="59">
        <f>(((ROUND((IF('מודל כלכלי'!$C$26="פליפ",((-PV(חישובים!$D$21/12,(('הנחות עסקה'!$D$72*'הנחות עסקה'!$I$70)/365*12),(-FV('מודל כלכלי'!$C$20,(6+(('הנחות עסקה'!$D$71-'הנחות עסקה'!$D$72)*'הנחות עסקה'!$I$70)/365),,'מודל כלכלי'!$C$53))))+((0.07*(ROUND('מודל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כלכלי'!$C$24)^6,-4)))*0.5)))))+(-PV(חישובים!$D$21/12,(('הנחות עסקה'!$D$72*'הנחות עסקה'!$I$70)/365*12),(-FV('מודל כלכלי'!$C$20,(6+(('הנחות עסקה'!$D$71-'הנחות עסקה'!$D$72)*'הנחות עסקה'!$I$70)/365),,'מודל כלכלי'!$C$53)))))*היוון!$C$26)),ROUND('מודל כלכלי'!$C$59*(1+'מודל כלכלי'!$C$24)^6,-4)))+(ROUND(FV('מודל כלכלי'!$C$17/12,6*12,'מודל כלכלי'!$C$48,'מודל כלכלי'!$C$46),-4))+(ROUND(-'מודל כלכלי'!$C$66*(IF('מודל כלכלי'!$C$26="פליפ",((-PV(חישובים!$D$21/12,(('הנחות עסקה'!$D$72*'הנחות עסקה'!$I$70)/365*12),(-FV('מודל כלכלי'!$C$20,(6+(('הנחות עסקה'!$D$71-'הנחות עסקה'!$D$72)*'הנחות עסקה'!$I$70)/365),,'מודל כלכלי'!$C$53))))+((0.07*(ROUND('מודל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כלכלי'!$C$24)^6,-4)))*0.5)))))+(-PV(חישובים!$D$21/12,(('הנחות עסקה'!$D$72*'הנחות עסקה'!$I$70)/365*12),(-FV('מודל כלכלי'!$C$20,(6+(('הנחות עסקה'!$D$71-'הנחות עסקה'!$D$72)*'הנחות עסקה'!$I$70)/365),,'מודל כלכלי'!$C$53)))))*היוון!$C$26)),ROUND('מודל כלכלי'!$C$59*(1+'מודל כלכלי'!$C$24)^6,-4)))*'מודל כלכלי'!$C$14-'מודל כלכלי'!$C$68*(IF('מודל כלכלי'!$C$26="פליפ",((-PV(חישובים!$D$21/12,(('הנחות עסקה'!$D$72*'הנחות עסקה'!$I$70)/365*12),(-FV('מודל כלכלי'!$C$20,(6+(('הנחות עסקה'!$D$71-'הנחות עסקה'!$D$72)*'הנחות עסקה'!$I$70)/365),,'מודל כלכלי'!$C$53))))+((0.07*(ROUND('מודל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כלכלי'!$C$24)^6,-4)))*0.5)))))+(-PV(חישובים!$D$21/12,(('הנחות עסקה'!$D$72*'הנחות עסקה'!$I$70)/365*12),(-FV('מודל כלכלי'!$C$20,(6+(('הנחות עסקה'!$D$71-'הנחות עסקה'!$D$72)*'הנחות עסקה'!$I$70)/365),,'מודל כלכלי'!$C$53)))))*היוון!$C$26)),ROUND('מודל כלכלי'!$C$59*(1+'מודל כלכלי'!$C$24)^6,-4)))*'מודל כלכלי'!$C$14+'מודל כלכלי'!$C$70,-3))+(ROUND(-FV(חישובים!$D$22,6*12,ROUND(ROUND('מודל כלכלי'!$C$53*(1+0.06)^((6-1)/2),-2)*'מודל כלכלי'!$C$54-'מודל כלכלי'!$C$21+'מודל כלכלי'!$C$48,-2)),-3))+(-'מודל כלכלי'!$C$45)+(-MAX(0,(IF('מודל כלכלי'!$C$26="פליפ",((-PV(חישובים!$D$21/12,(('הנחות עסקה'!$D$72*'הנחות עסקה'!$I$70)/365*12),(-FV('מודל כלכלי'!$C$20,(6+(('הנחות עסקה'!$D$71-'הנחות עסקה'!$D$72)*'הנחות עסקה'!$I$70)/365),,'מודל כלכלי'!$C$53))))+((0.07*(ROUND('מודל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כלכלי'!$C$24)^6,-4)))*0.5)))))+(-(((0.07*(ROUND('מודל כלכלי'!$C$59*(1+'מודל כלכלי'!$C$24)^6,-4)))+(0.13*(ROUND('מודל כלכלי'!$C$59*(1+'מודל כלכלי'!$C$24)^6,-4)))+(-PV(חישובים!$D$21,((('הנחות עסקה'!$D$72*'הנחות עסקה'!$I$70)-30)/365),,((0.7*(ROUND('מודל כלכלי'!$C$59*(1+'מודל כלכלי'!$C$24)^6,-4)))+(((('הנחות עסקה'!$D$72*'הנחות עסקה'!$I$70)-30)/365)*חישובים!$D$23*(0.7*(ROUND('מודל כלכלי'!$C$59*(1+'מודל כלכלי'!$C$24)^6,-4)))*0.5))))+(-PV(חישובים!$D$21,(('הנחות עסקה'!$D$72*'הנחות עסקה'!$I$70)/365),,((0.1*(ROUND('מודל כלכלי'!$C$59*(1+'מודל כלכלי'!$C$24)^6,-4)))+((('הנחות עסקה'!$D$72*'הנחות עסקה'!$I$70)/365)*חישובים!$D$23*(0.1*(ROUND('מודל כלכלי'!$C$59*(1+'מודל כלכלי'!$C$24)^6,-4)))*0.5)))))+(-PV(חישובים!$D$21/12,(('הנחות עסקה'!$D$72*'הנחות עסקה'!$I$70)/365*12),(-FV('מודל כלכלי'!$C$20,(6+(('הנחות עסקה'!$D$71-'הנחות עסקה'!$D$72)*'הנחות עסקה'!$I$70)/365),,'מודל כלכלי'!$C$53)))))*היוון!$C$26)),ROUND('מודל כלכלי'!$C$59*(1+'מודל כלכלי'!$C$24)^6,-4)))-(חישובים!$D$28*(1+חישובים!$D$29)^6))*0.25),-4))+'מודל כלכלי'!$C$45)/'מודל כלכלי'!$C$45)^(1/6)-1</f>
        <v>0.23944073757493145</v>
      </c>
      <c r="D42" s="59">
        <f>(((ROUND((IF('מודל כלכלי'!$C$26="פליפ",((-PV(חישובים!$D$21/12,(('הנחות עסקה'!$D$72*'הנחות עסקה'!$I$70)/365*12),(-FV('מודל כלכלי'!$C$20,(7+(('הנחות עסקה'!$D$71-'הנחות עסקה'!$D$72)*'הנחות עסקה'!$I$70)/365),,'מודל כלכלי'!$C$53))))+((0.07*(ROUND('מודל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כלכלי'!$C$24)^7,-4)))*0.5)))))+(-PV(חישובים!$D$21/12,(('הנחות עסקה'!$D$72*'הנחות עסקה'!$I$70)/365*12),(-FV('מודל כלכלי'!$C$20,(7+(('הנחות עסקה'!$D$71-'הנחות עסקה'!$D$72)*'הנחות עסקה'!$I$70)/365),,'מודל כלכלי'!$C$53)))))*היוון!$C$26)),ROUND('מודל כלכלי'!$C$59*(1+'מודל כלכלי'!$C$24)^7,-4)))+(ROUND(FV('מודל כלכלי'!$C$17/12,7*12,'מודל כלכלי'!$C$48,'מודל כלכלי'!$C$46),-4))+(ROUND(-'מודל כלכלי'!$C$66*(IF('מודל כלכלי'!$C$26="פליפ",((-PV(חישובים!$D$21/12,(('הנחות עסקה'!$D$72*'הנחות עסקה'!$I$70)/365*12),(-FV('מודל כלכלי'!$C$20,(7+(('הנחות עסקה'!$D$71-'הנחות עסקה'!$D$72)*'הנחות עסקה'!$I$70)/365),,'מודל כלכלי'!$C$53))))+((0.07*(ROUND('מודל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כלכלי'!$C$24)^7,-4)))*0.5)))))+(-PV(חישובים!$D$21/12,(('הנחות עסקה'!$D$72*'הנחות עסקה'!$I$70)/365*12),(-FV('מודל כלכלי'!$C$20,(7+(('הנחות עסקה'!$D$71-'הנחות עסקה'!$D$72)*'הנחות עסקה'!$I$70)/365),,'מודל כלכלי'!$C$53)))))*היוון!$C$26)),ROUND('מודל כלכלי'!$C$59*(1+'מודל כלכלי'!$C$24)^7,-4)))*'מודל כלכלי'!$C$14-'מודל כלכלי'!$C$68*(IF('מודל כלכלי'!$C$26="פליפ",((-PV(חישובים!$D$21/12,(('הנחות עסקה'!$D$72*'הנחות עסקה'!$I$70)/365*12),(-FV('מודל כלכלי'!$C$20,(7+(('הנחות עסקה'!$D$71-'הנחות עסקה'!$D$72)*'הנחות עסקה'!$I$70)/365),,'מודל כלכלי'!$C$53))))+((0.07*(ROUND('מודל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כלכלי'!$C$24)^7,-4)))*0.5)))))+(-PV(חישובים!$D$21/12,(('הנחות עסקה'!$D$72*'הנחות עסקה'!$I$70)/365*12),(-FV('מודל כלכלי'!$C$20,(7+(('הנחות עסקה'!$D$71-'הנחות עסקה'!$D$72)*'הנחות עסקה'!$I$70)/365),,'מודל כלכלי'!$C$53)))))*היוון!$C$26)),ROUND('מודל כלכלי'!$C$59*(1+'מודל כלכלי'!$C$24)^7,-4)))*'מודל כלכלי'!$C$14+'מודל כלכלי'!$C$70,-3))+(ROUND(-FV(חישובים!$D$22,7*12,ROUND(ROUND('מודל כלכלי'!$C$53*(1+0.06)^((7-1)/2),-2)*'מודל כלכלי'!$C$54-'מודל כלכלי'!$C$21+'מודל כלכלי'!$C$48,-2)),-3))+(-'מודל כלכלי'!$C$45)+(-MAX(0,(IF('מודל כלכלי'!$C$26="פליפ",((-PV(חישובים!$D$21/12,(('הנחות עסקה'!$D$72*'הנחות עסקה'!$I$70)/365*12),(-FV('מודל כלכלי'!$C$20,(7+(('הנחות עסקה'!$D$71-'הנחות עסקה'!$D$72)*'הנחות עסקה'!$I$70)/365),,'מודל כלכלי'!$C$53))))+((0.07*(ROUND('מודל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כלכלי'!$C$24)^7,-4)))*0.5)))))+(-(((0.07*(ROUND('מודל כלכלי'!$C$59*(1+'מודל כלכלי'!$C$24)^7,-4)))+(0.13*(ROUND('מודל כלכלי'!$C$59*(1+'מודל כלכלי'!$C$24)^7,-4)))+(-PV(חישובים!$D$21,((('הנחות עסקה'!$D$72*'הנחות עסקה'!$I$70)-30)/365),,((0.7*(ROUND('מודל כלכלי'!$C$59*(1+'מודל כלכלי'!$C$24)^7,-4)))+(((('הנחות עסקה'!$D$72*'הנחות עסקה'!$I$70)-30)/365)*חישובים!$D$23*(0.7*(ROUND('מודל כלכלי'!$C$59*(1+'מודל כלכלי'!$C$24)^7,-4)))*0.5))))+(-PV(חישובים!$D$21,(('הנחות עסקה'!$D$72*'הנחות עסקה'!$I$70)/365),,((0.1*(ROUND('מודל כלכלי'!$C$59*(1+'מודל כלכלי'!$C$24)^7,-4)))+((('הנחות עסקה'!$D$72*'הנחות עסקה'!$I$70)/365)*חישובים!$D$23*(0.1*(ROUND('מודל כלכלי'!$C$59*(1+'מודל כלכלי'!$C$24)^7,-4)))*0.5)))))+(-PV(חישובים!$D$21/12,(('הנחות עסקה'!$D$72*'הנחות עסקה'!$I$70)/365*12),(-FV('מודל כלכלי'!$C$20,(7+(('הנחות עסקה'!$D$71-'הנחות עסקה'!$D$72)*'הנחות עסקה'!$I$70)/365),,'מודל כלכלי'!$C$53)))))*היוון!$C$26)),ROUND('מודל כלכלי'!$C$59*(1+'מודל כלכלי'!$C$24)^7,-4)))-(חישובים!$D$28*(1+חישובים!$D$29)^7))*0.25),-4))+'מודל כלכלי'!$C$45)/'מודל כלכלי'!$C$45)^(1/7)-1</f>
        <v>0.21387163314373692</v>
      </c>
      <c r="E42" s="59">
        <f>(((ROUND((IF('מודל כלכלי'!$C$26="פליפ",((-PV(חישובים!$D$21/12,(('הנחות עסקה'!$D$72*'הנחות עסקה'!$I$70)/365*12),(-FV('מודל כלכלי'!$C$20,(8+(('הנחות עסקה'!$D$71-'הנחות עסקה'!$D$72)*'הנחות עסקה'!$I$70)/365),,'מודל כלכלי'!$C$53))))+((0.07*(ROUND('מודל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כלכלי'!$C$24)^8,-4)))*0.5)))))+(-PV(חישובים!$D$21/12,(('הנחות עסקה'!$D$72*'הנחות עסקה'!$I$70)/365*12),(-FV('מודל כלכלי'!$C$20,(8+(('הנחות עסקה'!$D$71-'הנחות עסקה'!$D$72)*'הנחות עסקה'!$I$70)/365),,'מודל כלכלי'!$C$53)))))*היוון!$C$26)),ROUND('מודל כלכלי'!$C$59*(1+'מודל כלכלי'!$C$24)^8,-4)))+(ROUND(FV('מודל כלכלי'!$C$17/12,8*12,'מודל כלכלי'!$C$48,'מודל כלכלי'!$C$46),-4))+(ROUND(-'מודל כלכלי'!$C$66*(IF('מודל כלכלי'!$C$26="פליפ",((-PV(חישובים!$D$21/12,(('הנחות עסקה'!$D$72*'הנחות עסקה'!$I$70)/365*12),(-FV('מודל כלכלי'!$C$20,(8+(('הנחות עסקה'!$D$71-'הנחות עסקה'!$D$72)*'הנחות עסקה'!$I$70)/365),,'מודל כלכלי'!$C$53))))+((0.07*(ROUND('מודל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כלכלי'!$C$24)^8,-4)))*0.5)))))+(-PV(חישובים!$D$21/12,(('הנחות עסקה'!$D$72*'הנחות עסקה'!$I$70)/365*12),(-FV('מודל כלכלי'!$C$20,(8+(('הנחות עסקה'!$D$71-'הנחות עסקה'!$D$72)*'הנחות עסקה'!$I$70)/365),,'מודל כלכלי'!$C$53)))))*היוון!$C$26)),ROUND('מודל כלכלי'!$C$59*(1+'מודל כלכלי'!$C$24)^8,-4)))*'מודל כלכלי'!$C$14-'מודל כלכלי'!$C$68*(IF('מודל כלכלי'!$C$26="פליפ",((-PV(חישובים!$D$21/12,(('הנחות עסקה'!$D$72*'הנחות עסקה'!$I$70)/365*12),(-FV('מודל כלכלי'!$C$20,(8+(('הנחות עסקה'!$D$71-'הנחות עסקה'!$D$72)*'הנחות עסקה'!$I$70)/365),,'מודל כלכלי'!$C$53))))+((0.07*(ROUND('מודל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כלכלי'!$C$24)^8,-4)))*0.5)))))+(-PV(חישובים!$D$21/12,(('הנחות עסקה'!$D$72*'הנחות עסקה'!$I$70)/365*12),(-FV('מודל כלכלי'!$C$20,(8+(('הנחות עסקה'!$D$71-'הנחות עסקה'!$D$72)*'הנחות עסקה'!$I$70)/365),,'מודל כלכלי'!$C$53)))))*היוון!$C$26)),ROUND('מודל כלכלי'!$C$59*(1+'מודל כלכלי'!$C$24)^8,-4)))*'מודל כלכלי'!$C$14+'מודל כלכלי'!$C$70,-3))+(ROUND(-FV(חישובים!$D$22,8*12,ROUND(ROUND('מודל כלכלי'!$C$53*(1+0.06)^((8-1)/2),-2)*'מודל כלכלי'!$C$54-'מודל כלכלי'!$C$21+'מודל כלכלי'!$C$48,-2)),-3))+(-'מודל כלכלי'!$C$45)+(-MAX(0,(IF('מודל כלכלי'!$C$26="פליפ",((-PV(חישובים!$D$21/12,(('הנחות עסקה'!$D$72*'הנחות עסקה'!$I$70)/365*12),(-FV('מודל כלכלי'!$C$20,(8+(('הנחות עסקה'!$D$71-'הנחות עסקה'!$D$72)*'הנחות עסקה'!$I$70)/365),,'מודל כלכלי'!$C$53))))+((0.07*(ROUND('מודל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כלכלי'!$C$24)^8,-4)))*0.5)))))+(-(((0.07*(ROUND('מודל כלכלי'!$C$59*(1+'מודל כלכלי'!$C$24)^8,-4)))+(0.13*(ROUND('מודל כלכלי'!$C$59*(1+'מודל כלכלי'!$C$24)^8,-4)))+(-PV(חישובים!$D$21,((('הנחות עסקה'!$D$72*'הנחות עסקה'!$I$70)-30)/365),,((0.7*(ROUND('מודל כלכלי'!$C$59*(1+'מודל כלכלי'!$C$24)^8,-4)))+(((('הנחות עסקה'!$D$72*'הנחות עסקה'!$I$70)-30)/365)*חישובים!$D$23*(0.7*(ROUND('מודל כלכלי'!$C$59*(1+'מודל כלכלי'!$C$24)^8,-4)))*0.5))))+(-PV(חישובים!$D$21,(('הנחות עסקה'!$D$72*'הנחות עסקה'!$I$70)/365),,((0.1*(ROUND('מודל כלכלי'!$C$59*(1+'מודל כלכלי'!$C$24)^8,-4)))+((('הנחות עסקה'!$D$72*'הנחות עסקה'!$I$70)/365)*חישובים!$D$23*(0.1*(ROUND('מודל כלכלי'!$C$59*(1+'מודל כלכלי'!$C$24)^8,-4)))*0.5)))))+(-PV(חישובים!$D$21/12,(('הנחות עסקה'!$D$72*'הנחות עסקה'!$I$70)/365*12),(-FV('מודל כלכלי'!$C$20,(8+(('הנחות עסקה'!$D$71-'הנחות עסקה'!$D$72)*'הנחות עסקה'!$I$70)/365),,'מודל כלכלי'!$C$53)))))*היוון!$C$26)),ROUND('מודל כלכלי'!$C$59*(1+'מודל כלכלי'!$C$24)^8,-4)))-(חישובים!$D$28*(1+חישובים!$D$29)^8))*0.25),-4))+'מודל כלכלי'!$C$45)/'מודל כלכלי'!$C$45)^(1/8)-1</f>
        <v>0.19547169345765081</v>
      </c>
      <c r="F42" s="59">
        <f>(((ROUND((IF('מודל כלכלי'!$C$26="פליפ",((-PV(חישובים!$D$21/12,(('הנחות עסקה'!$D$72*'הנחות עסקה'!$I$70)/365*12),(-FV('מודל כלכלי'!$C$20,(9+(('הנחות עסקה'!$D$71-'הנחות עסקה'!$D$72)*'הנחות עסקה'!$I$70)/365),,'מודל כלכלי'!$C$53))))+((0.07*(ROUND('מודל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כלכלי'!$C$24)^9,-4)))*0.5)))))+(-PV(חישובים!$D$21/12,(('הנחות עסקה'!$D$72*'הנחות עסקה'!$I$70)/365*12),(-FV('מודל כלכלי'!$C$20,(9+(('הנחות עסקה'!$D$71-'הנחות עסקה'!$D$72)*'הנחות עסקה'!$I$70)/365),,'מודל כלכלי'!$C$53)))))*היוון!$C$26)),ROUND('מודל כלכלי'!$C$59*(1+'מודל כלכלי'!$C$24)^9,-4)))+(ROUND(FV('מודל כלכלי'!$C$17/12,9*12,'מודל כלכלי'!$C$48,'מודל כלכלי'!$C$46),-4))+(ROUND(-'מודל כלכלי'!$C$66*(IF('מודל כלכלי'!$C$26="פליפ",((-PV(חישובים!$D$21/12,(('הנחות עסקה'!$D$72*'הנחות עסקה'!$I$70)/365*12),(-FV('מודל כלכלי'!$C$20,(9+(('הנחות עסקה'!$D$71-'הנחות עסקה'!$D$72)*'הנחות עסקה'!$I$70)/365),,'מודל כלכלי'!$C$53))))+((0.07*(ROUND('מודל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כלכלי'!$C$24)^9,-4)))*0.5)))))+(-PV(חישובים!$D$21/12,(('הנחות עסקה'!$D$72*'הנחות עסקה'!$I$70)/365*12),(-FV('מודל כלכלי'!$C$20,(9+(('הנחות עסקה'!$D$71-'הנחות עסקה'!$D$72)*'הנחות עסקה'!$I$70)/365),,'מודל כלכלי'!$C$53)))))*היוון!$C$26)),ROUND('מודל כלכלי'!$C$59*(1+'מודל כלכלי'!$C$24)^9,-4)))*'מודל כלכלי'!$C$14-'מודל כלכלי'!$C$68*(IF('מודל כלכלי'!$C$26="פליפ",((-PV(חישובים!$D$21/12,(('הנחות עסקה'!$D$72*'הנחות עסקה'!$I$70)/365*12),(-FV('מודל כלכלי'!$C$20,(9+(('הנחות עסקה'!$D$71-'הנחות עסקה'!$D$72)*'הנחות עסקה'!$I$70)/365),,'מודל כלכלי'!$C$53))))+((0.07*(ROUND('מודל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כלכלי'!$C$24)^9,-4)))*0.5)))))+(-PV(חישובים!$D$21/12,(('הנחות עסקה'!$D$72*'הנחות עסקה'!$I$70)/365*12),(-FV('מודל כלכלי'!$C$20,(9+(('הנחות עסקה'!$D$71-'הנחות עסקה'!$D$72)*'הנחות עסקה'!$I$70)/365),,'מודל כלכלי'!$C$53)))))*היוון!$C$26)),ROUND('מודל כלכלי'!$C$59*(1+'מודל כלכלי'!$C$24)^9,-4)))*'מודל כלכלי'!$C$14+'מודל כלכלי'!$C$70,-3))+(ROUND(-FV(חישובים!$D$22,9*12,ROUND(ROUND('מודל כלכלי'!$C$53*(1+0.06)^((9-1)/2),-2)*'מודל כלכלי'!$C$54-'מודל כלכלי'!$C$21+'מודל כלכלי'!$C$48,-2)),-3))+(-'מודל כלכלי'!$C$45)+(-MAX(0,(IF('מודל כלכלי'!$C$26="פליפ",((-PV(חישובים!$D$21/12,(('הנחות עסקה'!$D$72*'הנחות עסקה'!$I$70)/365*12),(-FV('מודל כלכלי'!$C$20,(9+(('הנחות עסקה'!$D$71-'הנחות עסקה'!$D$72)*'הנחות עסקה'!$I$70)/365),,'מודל כלכלי'!$C$53))))+((0.07*(ROUND('מודל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כלכלי'!$C$24)^9,-4)))*0.5)))))+(-(((0.07*(ROUND('מודל כלכלי'!$C$59*(1+'מודל כלכלי'!$C$24)^9,-4)))+(0.13*(ROUND('מודל כלכלי'!$C$59*(1+'מודל כלכלי'!$C$24)^9,-4)))+(-PV(חישובים!$D$21,((('הנחות עסקה'!$D$72*'הנחות עסקה'!$I$70)-30)/365),,((0.7*(ROUND('מודל כלכלי'!$C$59*(1+'מודל כלכלי'!$C$24)^9,-4)))+(((('הנחות עסקה'!$D$72*'הנחות עסקה'!$I$70)-30)/365)*חישובים!$D$23*(0.7*(ROUND('מודל כלכלי'!$C$59*(1+'מודל כלכלי'!$C$24)^9,-4)))*0.5))))+(-PV(חישובים!$D$21,(('הנחות עסקה'!$D$72*'הנחות עסקה'!$I$70)/365),,((0.1*(ROUND('מודל כלכלי'!$C$59*(1+'מודל כלכלי'!$C$24)^9,-4)))+((('הנחות עסקה'!$D$72*'הנחות עסקה'!$I$70)/365)*חישובים!$D$23*(0.1*(ROUND('מודל כלכלי'!$C$59*(1+'מודל כלכלי'!$C$24)^9,-4)))*0.5)))))+(-PV(חישובים!$D$21/12,(('הנחות עסקה'!$D$72*'הנחות עסקה'!$I$70)/365*12),(-FV('מודל כלכלי'!$C$20,(9+(('הנחות עסקה'!$D$71-'הנחות עסקה'!$D$72)*'הנחות עסקה'!$I$70)/365),,'מודל כלכלי'!$C$53)))))*היוון!$C$26)),ROUND('מודל כלכלי'!$C$59*(1+'מודל כלכלי'!$C$24)^9,-4)))-(חישובים!$D$28*(1+חישובים!$D$29)^9))*0.25),-4))+'מודל כלכלי'!$C$45)/'מודל כלכלי'!$C$45)^(1/9)-1</f>
        <v>0.18027820738376166</v>
      </c>
      <c r="G42" s="59">
        <f>(((ROUND((IF('מודל כלכלי'!$C$26="פליפ",((-PV(חישובים!$D$21/12,(('הנחות עסקה'!$D$72*'הנחות עסקה'!$I$70)/365*12),(-FV('מודל כלכלי'!$C$20,(10+(('הנחות עסקה'!$D$71-'הנחות עסקה'!$D$72)*'הנחות עסקה'!$I$70)/365),,'מודל כלכלי'!$C$53))))+((0.07*(ROUND('מודל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כלכלי'!$C$24)^10,-4)))*0.5)))))+(-PV(חישובים!$D$21/12,(('הנחות עסקה'!$D$72*'הנחות עסקה'!$I$70)/365*12),(-FV('מודל כלכלי'!$C$20,(10+(('הנחות עסקה'!$D$71-'הנחות עסקה'!$D$72)*'הנחות עסקה'!$I$70)/365),,'מודל כלכלי'!$C$53)))))*היוון!$C$26)),ROUND('מודל כלכלי'!$C$59*(1+'מודל כלכלי'!$C$24)^10,-4)))+(ROUND(FV('מודל כלכלי'!$C$17/12,10*12,'מודל כלכלי'!$C$48,'מודל כלכלי'!$C$46),-4))+(ROUND(-'מודל כלכלי'!$C$66*(IF('מודל כלכלי'!$C$26="פליפ",((-PV(חישובים!$D$21/12,(('הנחות עסקה'!$D$72*'הנחות עסקה'!$I$70)/365*12),(-FV('מודל כלכלי'!$C$20,(10+(('הנחות עסקה'!$D$71-'הנחות עסקה'!$D$72)*'הנחות עסקה'!$I$70)/365),,'מודל כלכלי'!$C$53))))+((0.07*(ROUND('מודל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כלכלי'!$C$24)^10,-4)))*0.5)))))+(-PV(חישובים!$D$21/12,(('הנחות עסקה'!$D$72*'הנחות עסקה'!$I$70)/365*12),(-FV('מודל כלכלי'!$C$20,(10+(('הנחות עסקה'!$D$71-'הנחות עסקה'!$D$72)*'הנחות עסקה'!$I$70)/365),,'מודל כלכלי'!$C$53)))))*היוון!$C$26)),ROUND('מודל כלכלי'!$C$59*(1+'מודל כלכלי'!$C$24)^10,-4)))*'מודל כלכלי'!$C$14-'מודל כלכלי'!$C$68*(IF('מודל כלכלי'!$C$26="פליפ",((-PV(חישובים!$D$21/12,(('הנחות עסקה'!$D$72*'הנחות עסקה'!$I$70)/365*12),(-FV('מודל כלכלי'!$C$20,(10+(('הנחות עסקה'!$D$71-'הנחות עסקה'!$D$72)*'הנחות עסקה'!$I$70)/365),,'מודל כלכלי'!$C$53))))+((0.07*(ROUND('מודל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כלכלי'!$C$24)^10,-4)))*0.5)))))+(-PV(חישובים!$D$21/12,(('הנחות עסקה'!$D$72*'הנחות עסקה'!$I$70)/365*12),(-FV('מודל כלכלי'!$C$20,(10+(('הנחות עסקה'!$D$71-'הנחות עסקה'!$D$72)*'הנחות עסקה'!$I$70)/365),,'מודל כלכלי'!$C$53)))))*היוון!$C$26)),ROUND('מודל כלכלי'!$C$59*(1+'מודל כלכלי'!$C$24)^10,-4)))*'מודל כלכלי'!$C$14+'מודל כלכלי'!$C$70,-3))+(ROUND(-FV(חישובים!$D$22,10*12,ROUND(ROUND('מודל כלכלי'!$C$53*(1+0.06)^((10-1)/2),-2)*'מודל כלכלי'!$C$54-'מודל כלכלי'!$C$21+'מודל כלכלי'!$C$48,-2)),-3))+(-'מודל כלכלי'!$C$45)+(-MAX(0,(IF('מודל כלכלי'!$C$26="פליפ",((-PV(חישובים!$D$21/12,(('הנחות עסקה'!$D$72*'הנחות עסקה'!$I$70)/365*12),(-FV('מודל כלכלי'!$C$20,(10+(('הנחות עסקה'!$D$71-'הנחות עסקה'!$D$72)*'הנחות עסקה'!$I$70)/365),,'מודל כלכלי'!$C$53))))+((0.07*(ROUND('מודל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כלכלי'!$C$24)^10,-4)))*0.5)))))+(-(((0.07*(ROUND('מודל כלכלי'!$C$59*(1+'מודל כלכלי'!$C$24)^10,-4)))+(0.13*(ROUND('מודל כלכלי'!$C$59*(1+'מודל כלכלי'!$C$24)^10,-4)))+(-PV(חישובים!$D$21,((('הנחות עסקה'!$D$72*'הנחות עסקה'!$I$70)-30)/365),,((0.7*(ROUND('מודל כלכלי'!$C$59*(1+'מודל כלכלי'!$C$24)^10,-4)))+(((('הנחות עסקה'!$D$72*'הנחות עסקה'!$I$70)-30)/365)*חישובים!$D$23*(0.7*(ROUND('מודל כלכלי'!$C$59*(1+'מודל כלכלי'!$C$24)^10,-4)))*0.5))))+(-PV(חישובים!$D$21,(('הנחות עסקה'!$D$72*'הנחות עסקה'!$I$70)/365),,((0.1*(ROUND('מודל כלכלי'!$C$59*(1+'מודל כלכלי'!$C$24)^10,-4)))+((('הנחות עסקה'!$D$72*'הנחות עסקה'!$I$70)/365)*חישובים!$D$23*(0.1*(ROUND('מודל כלכלי'!$C$59*(1+'מודל כלכלי'!$C$24)^10,-4)))*0.5)))))+(-PV(חישובים!$D$21/12,(('הנחות עסקה'!$D$72*'הנחות עסקה'!$I$70)/365*12),(-FV('מודל כלכלי'!$C$20,(10+(('הנחות עסקה'!$D$71-'הנחות עסקה'!$D$72)*'הנחות עסקה'!$I$70)/365),,'מודל כלכלי'!$C$53)))))*היוון!$C$26)),ROUND('מודל כלכלי'!$C$59*(1+'מודל כלכלי'!$C$24)^10,-4)))-(חישובים!$D$28*(1+חישובים!$D$29)^10))*0.25),-4))+'מודל כלכלי'!$C$45)/'מודל כלכלי'!$C$45)^(1/10)-1</f>
        <v>0.16894262035194352</v>
      </c>
      <c r="H42" s="59">
        <f>(((ROUND((IF('מודל כלכלי'!$C$26="פליפ",((-PV(חישובים!$D$21/12,(('הנחות עסקה'!$D$72*'הנחות עסקה'!$I$70)/365*12),(-FV('מודל כלכלי'!$C$20,(11+(('הנחות עסקה'!$D$71-'הנחות עסקה'!$D$72)*'הנחות עסקה'!$I$70)/365),,'מודל כלכלי'!$C$53))))+((0.07*(ROUND('מודל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כלכלי'!$C$24)^11,-4)))*0.5)))))+(-PV(חישובים!$D$21/12,(('הנחות עסקה'!$D$72*'הנחות עסקה'!$I$70)/365*12),(-FV('מודל כלכלי'!$C$20,(11+(('הנחות עסקה'!$D$71-'הנחות עסקה'!$D$72)*'הנחות עסקה'!$I$70)/365),,'מודל כלכלי'!$C$53)))))*היוון!$C$26)),ROUND('מודל כלכלי'!$C$59*(1+'מודל כלכלי'!$C$24)^11,-4)))+(ROUND(FV('מודל כלכלי'!$C$17/12,11*12,'מודל כלכלי'!$C$48,'מודל כלכלי'!$C$46),-4))+(ROUND(-'מודל כלכלי'!$C$66*(IF('מודל כלכלי'!$C$26="פליפ",((-PV(חישובים!$D$21/12,(('הנחות עסקה'!$D$72*'הנחות עסקה'!$I$70)/365*12),(-FV('מודל כלכלי'!$C$20,(11+(('הנחות עסקה'!$D$71-'הנחות עסקה'!$D$72)*'הנחות עסקה'!$I$70)/365),,'מודל כלכלי'!$C$53))))+((0.07*(ROUND('מודל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כלכלי'!$C$24)^11,-4)))*0.5)))))+(-PV(חישובים!$D$21/12,(('הנחות עסקה'!$D$72*'הנחות עסקה'!$I$70)/365*12),(-FV('מודל כלכלי'!$C$20,(11+(('הנחות עסקה'!$D$71-'הנחות עסקה'!$D$72)*'הנחות עסקה'!$I$70)/365),,'מודל כלכלי'!$C$53)))))*היוון!$C$26)),ROUND('מודל כלכלי'!$C$59*(1+'מודל כלכלי'!$C$24)^11,-4)))*'מודל כלכלי'!$C$14-'מודל כלכלי'!$C$68*(IF('מודל כלכלי'!$C$26="פליפ",((-PV(חישובים!$D$21/12,(('הנחות עסקה'!$D$72*'הנחות עסקה'!$I$70)/365*12),(-FV('מודל כלכלי'!$C$20,(11+(('הנחות עסקה'!$D$71-'הנחות עסקה'!$D$72)*'הנחות עסקה'!$I$70)/365),,'מודל כלכלי'!$C$53))))+((0.07*(ROUND('מודל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כלכלי'!$C$24)^11,-4)))*0.5)))))+(-PV(חישובים!$D$21/12,(('הנחות עסקה'!$D$72*'הנחות עסקה'!$I$70)/365*12),(-FV('מודל כלכלי'!$C$20,(11+(('הנחות עסקה'!$D$71-'הנחות עסקה'!$D$72)*'הנחות עסקה'!$I$70)/365),,'מודל כלכלי'!$C$53)))))*היוון!$C$26)),ROUND('מודל כלכלי'!$C$59*(1+'מודל כלכלי'!$C$24)^11,-4)))*'מודל כלכלי'!$C$14+'מודל כלכלי'!$C$70,-3))+(ROUND(-FV(חישובים!$D$22,11*12,ROUND(ROUND('מודל כלכלי'!$C$53*(1+0.06)^((11-1)/2),-2)*'מודל כלכלי'!$C$54-'מודל כלכלי'!$C$21+'מודל כלכלי'!$C$48,-2)),-3))+(-'מודל כלכלי'!$C$45)+(-MAX(0,(IF('מודל כלכלי'!$C$26="פליפ",((-PV(חישובים!$D$21/12,(('הנחות עסקה'!$D$72*'הנחות עסקה'!$I$70)/365*12),(-FV('מודל כלכלי'!$C$20,(11+(('הנחות עסקה'!$D$71-'הנחות עסקה'!$D$72)*'הנחות עסקה'!$I$70)/365),,'מודל כלכלי'!$C$53))))+((0.07*(ROUND('מודל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כלכלי'!$C$24)^11,-4)))*0.5)))))+(-(((0.07*(ROUND('מודל כלכלי'!$C$59*(1+'מודל כלכלי'!$C$24)^11,-4)))+(0.13*(ROUND('מודל כלכלי'!$C$59*(1+'מודל כלכלי'!$C$24)^11,-4)))+(-PV(חישובים!$D$21,((('הנחות עסקה'!$D$72*'הנחות עסקה'!$I$70)-30)/365),,((0.7*(ROUND('מודל כלכלי'!$C$59*(1+'מודל כלכלי'!$C$24)^11,-4)))+(((('הנחות עסקה'!$D$72*'הנחות עסקה'!$I$70)-30)/365)*חישובים!$D$23*(0.7*(ROUND('מודל כלכלי'!$C$59*(1+'מודל כלכלי'!$C$24)^11,-4)))*0.5))))+(-PV(חישובים!$D$21,(('הנחות עסקה'!$D$72*'הנחות עסקה'!$I$70)/365),,((0.1*(ROUND('מודל כלכלי'!$C$59*(1+'מודל כלכלי'!$C$24)^11,-4)))+((('הנחות עסקה'!$D$72*'הנחות עסקה'!$I$70)/365)*חישובים!$D$23*(0.1*(ROUND('מודל כלכלי'!$C$59*(1+'מודל כלכלי'!$C$24)^11,-4)))*0.5)))))+(-PV(חישובים!$D$21/12,(('הנחות עסקה'!$D$72*'הנחות עסקה'!$I$70)/365*12),(-FV('מודל כלכלי'!$C$20,(11+(('הנחות עסקה'!$D$71-'הנחות עסקה'!$D$72)*'הנחות עסקה'!$I$70)/365),,'מודל כלכלי'!$C$53)))))*היוון!$C$26)),ROUND('מודל כלכלי'!$C$59*(1+'מודל כלכלי'!$C$24)^11,-4)))-(חישובים!$D$28*(1+חישובים!$D$29)^11))*0.25),-4))+'מודל כלכלי'!$C$45)/'מודל כלכלי'!$C$45)^(1/11)-1</f>
        <v>0.16052820521258515</v>
      </c>
      <c r="I42" s="59">
        <f>(((ROUND((IF('מודל כלכלי'!$C$26="פליפ",((-PV(חישובים!$D$21/12,(('הנחות עסקה'!$D$72*'הנחות עסקה'!$I$70)/365*12),(-FV('מודל כלכלי'!$C$20,(12+(('הנחות עסקה'!$D$71-'הנחות עסקה'!$D$72)*'הנחות עסקה'!$I$70)/365),,'מודל כלכלי'!$C$53))))+((0.07*(ROUND('מודל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כלכלי'!$C$24)^12,-4)))*0.5)))))+(-PV(חישובים!$D$21/12,(('הנחות עסקה'!$D$72*'הנחות עסקה'!$I$70)/365*12),(-FV('מודל כלכלי'!$C$20,(12+(('הנחות עסקה'!$D$71-'הנחות עסקה'!$D$72)*'הנחות עסקה'!$I$70)/365),,'מודל כלכלי'!$C$53)))))*היוון!$C$26)),ROUND('מודל כלכלי'!$C$59*(1+'מודל כלכלי'!$C$24)^12,-4)))+(ROUND(FV('מודל כלכלי'!$C$17/12,12*12,'מודל כלכלי'!$C$48,'מודל כלכלי'!$C$46),-4))+(ROUND(-'מודל כלכלי'!$C$66*(IF('מודל כלכלי'!$C$26="פליפ",((-PV(חישובים!$D$21/12,(('הנחות עסקה'!$D$72*'הנחות עסקה'!$I$70)/365*12),(-FV('מודל כלכלי'!$C$20,(12+(('הנחות עסקה'!$D$71-'הנחות עסקה'!$D$72)*'הנחות עסקה'!$I$70)/365),,'מודל כלכלי'!$C$53))))+((0.07*(ROUND('מודל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כלכלי'!$C$24)^12,-4)))*0.5)))))+(-PV(חישובים!$D$21/12,(('הנחות עסקה'!$D$72*'הנחות עסקה'!$I$70)/365*12),(-FV('מודל כלכלי'!$C$20,(12+(('הנחות עסקה'!$D$71-'הנחות עסקה'!$D$72)*'הנחות עסקה'!$I$70)/365),,'מודל כלכלי'!$C$53)))))*היוון!$C$26)),ROUND('מודל כלכלי'!$C$59*(1+'מודל כלכלי'!$C$24)^12,-4)))*'מודל כלכלי'!$C$14-'מודל כלכלי'!$C$68*(IF('מודל כלכלי'!$C$26="פליפ",((-PV(חישובים!$D$21/12,(('הנחות עסקה'!$D$72*'הנחות עסקה'!$I$70)/365*12),(-FV('מודל כלכלי'!$C$20,(12+(('הנחות עסקה'!$D$71-'הנחות עסקה'!$D$72)*'הנחות עסקה'!$I$70)/365),,'מודל כלכלי'!$C$53))))+((0.07*(ROUND('מודל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כלכלי'!$C$24)^12,-4)))*0.5)))))+(-PV(חישובים!$D$21/12,(('הנחות עסקה'!$D$72*'הנחות עסקה'!$I$70)/365*12),(-FV('מודל כלכלי'!$C$20,(12+(('הנחות עסקה'!$D$71-'הנחות עסקה'!$D$72)*'הנחות עסקה'!$I$70)/365),,'מודל כלכלי'!$C$53)))))*היוון!$C$26)),ROUND('מודל כלכלי'!$C$59*(1+'מודל כלכלי'!$C$24)^12,-4)))*'מודל כלכלי'!$C$14+'מודל כלכלי'!$C$70,-3))+(ROUND(-FV(חישובים!$D$22,12*12,ROUND(ROUND('מודל כלכלי'!$C$53*(1+0.06)^((12-1)/2),-2)*'מודל כלכלי'!$C$54-'מודל כלכלי'!$C$21+'מודל כלכלי'!$C$48,-2)),-3))+(-'מודל כלכלי'!$C$45)+(-MAX(0,(IF('מודל כלכלי'!$C$26="פליפ",((-PV(חישובים!$D$21/12,(('הנחות עסקה'!$D$72*'הנחות עסקה'!$I$70)/365*12),(-FV('מודל כלכלי'!$C$20,(12+(('הנחות עסקה'!$D$71-'הנחות עסקה'!$D$72)*'הנחות עסקה'!$I$70)/365),,'מודל כלכלי'!$C$53))))+((0.07*(ROUND('מודל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כלכלי'!$C$24)^12,-4)))*0.5)))))+(-(((0.07*(ROUND('מודל כלכלי'!$C$59*(1+'מודל כלכלי'!$C$24)^12,-4)))+(0.13*(ROUND('מודל כלכלי'!$C$59*(1+'מודל כלכלי'!$C$24)^12,-4)))+(-PV(חישובים!$D$21,((('הנחות עסקה'!$D$72*'הנחות עסקה'!$I$70)-30)/365),,((0.7*(ROUND('מודל כלכלי'!$C$59*(1+'מודל כלכלי'!$C$24)^12,-4)))+(((('הנחות עסקה'!$D$72*'הנחות עסקה'!$I$70)-30)/365)*חישובים!$D$23*(0.7*(ROUND('מודל כלכלי'!$C$59*(1+'מודל כלכלי'!$C$24)^12,-4)))*0.5))))+(-PV(חישובים!$D$21,(('הנחות עסקה'!$D$72*'הנחות עסקה'!$I$70)/365),,((0.1*(ROUND('מודל כלכלי'!$C$59*(1+'מודל כלכלי'!$C$24)^12,-4)))+((('הנחות עסקה'!$D$72*'הנחות עסקה'!$I$70)/365)*חישובים!$D$23*(0.1*(ROUND('מודל כלכלי'!$C$59*(1+'מודל כלכלי'!$C$24)^12,-4)))*0.5)))))+(-PV(חישובים!$D$21/12,(('הנחות עסקה'!$D$72*'הנחות עסקה'!$I$70)/365*12),(-FV('מודל כלכלי'!$C$20,(12+(('הנחות עסקה'!$D$71-'הנחות עסקה'!$D$72)*'הנחות עסקה'!$I$70)/365),,'מודל כלכלי'!$C$53)))))*היוון!$C$26)),ROUND('מודל כלכלי'!$C$59*(1+'מודל כלכלי'!$C$24)^12,-4)))-(חישובים!$D$28*(1+חישובים!$D$29)^12))*0.25),-4))+'מודל כלכלי'!$C$45)/'מודל כלכלי'!$C$45)^(1/12)-1</f>
        <v>0.15277365706199952</v>
      </c>
      <c r="J42" s="59">
        <f>(((ROUND((IF('מודל כלכלי'!$C$26="פליפ",((-PV(חישובים!$D$21/12,(('הנחות עסקה'!$D$72*'הנחות עסקה'!$I$70)/365*12),(-FV('מודל כלכלי'!$C$20,(13+(('הנחות עסקה'!$D$71-'הנחות עסקה'!$D$72)*'הנחות עסקה'!$I$70)/365),,'מודל כלכלי'!$C$53))))+((0.07*(ROUND('מודל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כלכלי'!$C$24)^13,-4)))*0.5)))))+(-PV(חישובים!$D$21/12,(('הנחות עסקה'!$D$72*'הנחות עסקה'!$I$70)/365*12),(-FV('מודל כלכלי'!$C$20,(13+(('הנחות עסקה'!$D$71-'הנחות עסקה'!$D$72)*'הנחות עסקה'!$I$70)/365),,'מודל כלכלי'!$C$53)))))*היוון!$C$26)),ROUND('מודל כלכלי'!$C$59*(1+'מודל כלכלי'!$C$24)^13,-4)))+(ROUND(FV('מודל כלכלי'!$C$17/12,13*12,'מודל כלכלי'!$C$48,'מודל כלכלי'!$C$46),-4))+(ROUND(-'מודל כלכלי'!$C$66*(IF('מודל כלכלי'!$C$26="פליפ",((-PV(חישובים!$D$21/12,(('הנחות עסקה'!$D$72*'הנחות עסקה'!$I$70)/365*12),(-FV('מודל כלכלי'!$C$20,(13+(('הנחות עסקה'!$D$71-'הנחות עסקה'!$D$72)*'הנחות עסקה'!$I$70)/365),,'מודל כלכלי'!$C$53))))+((0.07*(ROUND('מודל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כלכלי'!$C$24)^13,-4)))*0.5)))))+(-PV(חישובים!$D$21/12,(('הנחות עסקה'!$D$72*'הנחות עסקה'!$I$70)/365*12),(-FV('מודל כלכלי'!$C$20,(13+(('הנחות עסקה'!$D$71-'הנחות עסקה'!$D$72)*'הנחות עסקה'!$I$70)/365),,'מודל כלכלי'!$C$53)))))*היוון!$C$26)),ROUND('מודל כלכלי'!$C$59*(1+'מודל כלכלי'!$C$24)^13,-4)))*'מודל כלכלי'!$C$14-'מודל כלכלי'!$C$68*(IF('מודל כלכלי'!$C$26="פליפ",((-PV(חישובים!$D$21/12,(('הנחות עסקה'!$D$72*'הנחות עסקה'!$I$70)/365*12),(-FV('מודל כלכלי'!$C$20,(13+(('הנחות עסקה'!$D$71-'הנחות עסקה'!$D$72)*'הנחות עסקה'!$I$70)/365),,'מודל כלכלי'!$C$53))))+((0.07*(ROUND('מודל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כלכלי'!$C$24)^13,-4)))*0.5)))))+(-PV(חישובים!$D$21/12,(('הנחות עסקה'!$D$72*'הנחות עסקה'!$I$70)/365*12),(-FV('מודל כלכלי'!$C$20,(13+(('הנחות עסקה'!$D$71-'הנחות עסקה'!$D$72)*'הנחות עסקה'!$I$70)/365),,'מודל כלכלי'!$C$53)))))*היוון!$C$26)),ROUND('מודל כלכלי'!$C$59*(1+'מודל כלכלי'!$C$24)^13,-4)))*'מודל כלכלי'!$C$14+'מודל כלכלי'!$C$70,-3))+(ROUND(-FV(חישובים!$D$22,13*12,ROUND(ROUND('מודל כלכלי'!$C$53*(1+0.06)^((13-1)/2),-2)*'מודל כלכלי'!$C$54-'מודל כלכלי'!$C$21+'מודל כלכלי'!$C$48,-2)),-3))+(-'מודל כלכלי'!$C$45)+(-MAX(0,(IF('מודל כלכלי'!$C$26="פליפ",((-PV(חישובים!$D$21/12,(('הנחות עסקה'!$D$72*'הנחות עסקה'!$I$70)/365*12),(-FV('מודל כלכלי'!$C$20,(13+(('הנחות עסקה'!$D$71-'הנחות עסקה'!$D$72)*'הנחות עסקה'!$I$70)/365),,'מודל כלכלי'!$C$53))))+((0.07*(ROUND('מודל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כלכלי'!$C$24)^13,-4)))*0.5)))))+(-(((0.07*(ROUND('מודל כלכלי'!$C$59*(1+'מודל כלכלי'!$C$24)^13,-4)))+(0.13*(ROUND('מודל כלכלי'!$C$59*(1+'מודל כלכלי'!$C$24)^13,-4)))+(-PV(חישובים!$D$21,((('הנחות עסקה'!$D$72*'הנחות עסקה'!$I$70)-30)/365),,((0.7*(ROUND('מודל כלכלי'!$C$59*(1+'מודל כלכלי'!$C$24)^13,-4)))+(((('הנחות עסקה'!$D$72*'הנחות עסקה'!$I$70)-30)/365)*חישובים!$D$23*(0.7*(ROUND('מודל כלכלי'!$C$59*(1+'מודל כלכלי'!$C$24)^13,-4)))*0.5))))+(-PV(חישובים!$D$21,(('הנחות עסקה'!$D$72*'הנחות עסקה'!$I$70)/365),,((0.1*(ROUND('מודל כלכלי'!$C$59*(1+'מודל כלכלי'!$C$24)^13,-4)))+((('הנחות עסקה'!$D$72*'הנחות עסקה'!$I$70)/365)*חישובים!$D$23*(0.1*(ROUND('מודל כלכלי'!$C$59*(1+'מודל כלכלי'!$C$24)^13,-4)))*0.5)))))+(-PV(חישובים!$D$21/12,(('הנחות עסקה'!$D$72*'הנחות עסקה'!$I$70)/365*12),(-FV('מודל כלכלי'!$C$20,(13+(('הנחות עסקה'!$D$71-'הנחות עסקה'!$D$72)*'הנחות עסקה'!$I$70)/365),,'מודל כלכלי'!$C$53)))))*היוון!$C$26)),ROUND('מודל כלכלי'!$C$59*(1+'מודל כלכלי'!$C$24)^13,-4)))-(חישובים!$D$28*(1+חישובים!$D$29)^13))*0.25),-4))+'מודל כלכלי'!$C$45)/'מודל כלכלי'!$C$45)^(1/13)-1</f>
        <v>0.14632072920674055</v>
      </c>
    </row>
    <row r="44" spans="2:10" ht="19.5" customHeight="1">
      <c r="B44" s="10" t="s">
        <v>312</v>
      </c>
      <c r="C44" s="10"/>
      <c r="D44" s="10"/>
      <c r="E44" s="10"/>
      <c r="F44" s="10"/>
      <c r="G44" s="10"/>
      <c r="H44" s="10"/>
      <c r="I44" s="10"/>
    </row>
    <row r="45" spans="2:10" ht="15" customHeight="1">
      <c r="B45" s="4" t="s">
        <v>313</v>
      </c>
      <c r="C45" s="4"/>
      <c r="D45" s="4"/>
      <c r="E45" s="4"/>
      <c r="F45" s="4"/>
      <c r="G45" s="4"/>
      <c r="H45" s="4"/>
      <c r="I45" s="4"/>
    </row>
    <row r="46" spans="2:10" ht="15" customHeight="1">
      <c r="B46" s="72" t="s">
        <v>314</v>
      </c>
      <c r="C46" s="78">
        <v>0.5</v>
      </c>
      <c r="D46" s="78">
        <v>0.6</v>
      </c>
      <c r="E46" s="78">
        <v>0.7</v>
      </c>
      <c r="F46" s="78">
        <v>0.75</v>
      </c>
      <c r="G46" s="78">
        <v>0.8</v>
      </c>
      <c r="H46" s="78">
        <v>0.85</v>
      </c>
      <c r="I46" s="78">
        <v>0.9</v>
      </c>
    </row>
    <row r="47" spans="2:10" ht="15" customHeight="1">
      <c r="B47" s="64" t="s">
        <v>315</v>
      </c>
      <c r="C47" s="24">
        <f>ROUND('מודל כלכלי'!$C$53*'מודל כלכלי'!$C$54-'מודל כלכלי'!$C$21+(PMT('מודל כלכלי'!$C$17/12,'מודל כלכלי'!$C$18*12,(('מודל כלכלי'!$C$13*'מודל כלכלי'!$C$14*(1-0.5))*(0.5/(1-0.5))))),-2)</f>
        <v>-600</v>
      </c>
      <c r="D47" s="24">
        <f>ROUND('מודל כלכלי'!$C$53*'מודל כלכלי'!$C$54-'מודל כלכלי'!$C$21+(PMT('מודל כלכלי'!$C$17/12,'מודל כלכלי'!$C$18*12,(('מודל כלכלי'!$C$13*'מודל כלכלי'!$C$14*(1-0.6))*(0.6/(1-0.6))))),-2)</f>
        <v>-1800</v>
      </c>
      <c r="E47" s="24">
        <f>ROUND('מודל כלכלי'!$C$53*'מודל כלכלי'!$C$54-'מודל כלכלי'!$C$21+(PMT('מודל כלכלי'!$C$17/12,'מודל כלכלי'!$C$18*12,(('מודל כלכלי'!$C$13*'מודל כלכלי'!$C$14*(1-0.7))*(0.7/(1-0.7))))),-2)</f>
        <v>-3000</v>
      </c>
      <c r="F47" s="76">
        <f>ROUND('מודל כלכלי'!$C$53*'מודל כלכלי'!$C$54-'מודל כלכלי'!$C$21+(PMT('מודל כלכלי'!$C$17/12,'מודל כלכלי'!$C$18*12,(('מודל כלכלי'!$C$13*'מודל כלכלי'!$C$14*(1-0.75))*(0.75/(1-0.75))))),-2)</f>
        <v>-3600</v>
      </c>
      <c r="G47" s="24">
        <f>ROUND('מודל כלכלי'!$C$53*'מודל כלכלי'!$C$54-'מודל כלכלי'!$C$21+(PMT('מודל כלכלי'!$C$17/12,'מודל כלכלי'!$C$18*12,(('מודל כלכלי'!$C$13*'מודל כלכלי'!$C$14*(1-0.8))*(0.8/(1-0.8))))),-2)</f>
        <v>-4200</v>
      </c>
      <c r="H47" s="24">
        <f>ROUND('מודל כלכלי'!$C$53*'מודל כלכלי'!$C$54-'מודל כלכלי'!$C$21+(PMT('מודל כלכלי'!$C$17/12,'מודל כלכלי'!$C$18*12,(('מודל כלכלי'!$C$13*'מודל כלכלי'!$C$14*(1-0.85))*(0.85/(1-0.85))))),-2)</f>
        <v>-4800</v>
      </c>
      <c r="I47" s="24">
        <f>ROUND('מודל כלכלי'!$C$53*'מודל כלכלי'!$C$54-'מודל כלכלי'!$C$21+(PMT('מודל כלכלי'!$C$17/12,'מודל כלכלי'!$C$18*12,(('מודל כלכלי'!$C$13*'מודל כלכלי'!$C$14*(1-0.9))*(0.9/(1-0.9))))),-2)</f>
        <v>-5400</v>
      </c>
    </row>
    <row r="49" spans="2:9" ht="19.5" customHeight="1">
      <c r="B49" s="10" t="s">
        <v>316</v>
      </c>
      <c r="C49" s="10"/>
      <c r="D49" s="10"/>
      <c r="E49" s="10"/>
      <c r="F49" s="10"/>
      <c r="G49" s="10"/>
      <c r="H49" s="10"/>
      <c r="I49" s="10"/>
    </row>
    <row r="50" spans="2:9" ht="15" customHeight="1">
      <c r="B50" s="4" t="s">
        <v>317</v>
      </c>
      <c r="C50" s="4"/>
      <c r="D50" s="4"/>
      <c r="E50" s="4"/>
      <c r="F50" s="4"/>
      <c r="G50" s="4"/>
      <c r="H50" s="4"/>
      <c r="I50" s="4"/>
    </row>
    <row r="51" spans="2:9" ht="15" customHeight="1">
      <c r="B51" s="72" t="s">
        <v>318</v>
      </c>
      <c r="C51" s="74">
        <v>3.5000000000000003E-2</v>
      </c>
      <c r="D51" s="74">
        <v>0.04</v>
      </c>
      <c r="E51" s="74">
        <v>4.4999999999999998E-2</v>
      </c>
      <c r="F51" s="74">
        <v>4.9000000000000002E-2</v>
      </c>
      <c r="G51" s="74">
        <v>5.5E-2</v>
      </c>
      <c r="H51" s="74">
        <v>0.06</v>
      </c>
      <c r="I51" s="74">
        <v>6.5000000000000002E-2</v>
      </c>
    </row>
    <row r="52" spans="2:9" ht="15" customHeight="1">
      <c r="B52" s="74">
        <v>0</v>
      </c>
      <c r="C52" s="59">
        <v>0.19870258890707601</v>
      </c>
      <c r="D52" s="59">
        <v>0.19438100945646999</v>
      </c>
      <c r="E52" s="59">
        <v>0.18994712024787699</v>
      </c>
      <c r="F52" s="59">
        <v>0.18654414349319701</v>
      </c>
      <c r="G52" s="59">
        <v>0.18130798085476199</v>
      </c>
      <c r="H52" s="59">
        <v>0.17772475666068899</v>
      </c>
      <c r="I52" s="59">
        <v>0.171577599637707</v>
      </c>
    </row>
    <row r="53" spans="2:9" ht="15" customHeight="1">
      <c r="B53" s="74">
        <v>0.02</v>
      </c>
      <c r="C53" s="59">
        <v>0.201349196417522</v>
      </c>
      <c r="D53" s="59">
        <v>0.19709477110941001</v>
      </c>
      <c r="E53" s="59">
        <v>0.19273179654706099</v>
      </c>
      <c r="F53" s="59">
        <v>0.189384672351575</v>
      </c>
      <c r="G53" s="59">
        <v>0.184236947710233</v>
      </c>
      <c r="H53" s="59">
        <v>0.17952589325968099</v>
      </c>
      <c r="I53" s="59">
        <v>0.17467932428375699</v>
      </c>
    </row>
    <row r="54" spans="2:9" ht="15" customHeight="1">
      <c r="B54" s="74">
        <v>0.03</v>
      </c>
      <c r="C54" s="59">
        <v>0.201873652425033</v>
      </c>
      <c r="D54" s="59">
        <v>0.19816832621160399</v>
      </c>
      <c r="E54" s="59">
        <v>0.193833042191111</v>
      </c>
      <c r="F54" s="75">
        <v>0.19106646464860999</v>
      </c>
      <c r="G54" s="59">
        <v>0.185394474868184</v>
      </c>
      <c r="H54" s="59">
        <v>0.18071604157729701</v>
      </c>
      <c r="I54" s="59">
        <v>0.176513198657821</v>
      </c>
    </row>
    <row r="55" spans="2:9" ht="15" customHeight="1">
      <c r="B55" s="74">
        <v>0.04</v>
      </c>
      <c r="C55" s="59">
        <v>0.20343747926170799</v>
      </c>
      <c r="D55" s="59">
        <v>0.20029545102158799</v>
      </c>
      <c r="E55" s="59">
        <v>0.19601443404711</v>
      </c>
      <c r="F55" s="59">
        <v>0.19273179654706099</v>
      </c>
      <c r="G55" s="59">
        <v>0.18711606640606801</v>
      </c>
      <c r="H55" s="59">
        <v>0.18307144600490499</v>
      </c>
      <c r="I55" s="59">
        <v>0.178327279030082</v>
      </c>
    </row>
    <row r="56" spans="2:9" ht="15" customHeight="1">
      <c r="B56" s="74">
        <v>0.06</v>
      </c>
      <c r="C56" s="59">
        <v>0.206012664308934</v>
      </c>
      <c r="D56" s="59">
        <v>0.201873652425033</v>
      </c>
      <c r="E56" s="59">
        <v>0.19816832621160399</v>
      </c>
      <c r="F56" s="59">
        <v>0.195471693457651</v>
      </c>
      <c r="G56" s="59">
        <v>0.18994712024787699</v>
      </c>
      <c r="H56" s="59">
        <v>0.185970284347624</v>
      </c>
      <c r="I56" s="59">
        <v>0.18130798085476199</v>
      </c>
    </row>
  </sheetData>
  <sheetProtection algorithmName="SHA-512" hashValue="RueQg5Vg3zTcrAwtvIpTA57w0xRePKfwqfP+6S+wSgIl1HAbnLV0u8+6/20/72zomZfG6Xz5kXZEBGv7Up26tA==" saltValue="Rr6+5oIn+M7H31NmkGGaZQ==" spinCount="100000" sheet="1" objects="1" scenarios="1"/>
  <mergeCells count="12">
    <mergeCell ref="B49:I49"/>
    <mergeCell ref="B50:I50"/>
    <mergeCell ref="B25:G25"/>
    <mergeCell ref="B35:J35"/>
    <mergeCell ref="B36:J36"/>
    <mergeCell ref="B44:I44"/>
    <mergeCell ref="B45:I45"/>
    <mergeCell ref="B1:K1"/>
    <mergeCell ref="B3:K6"/>
    <mergeCell ref="B8:J8"/>
    <mergeCell ref="B16:J16"/>
    <mergeCell ref="B24:G24"/>
  </mergeCells>
  <conditionalFormatting sqref="C27:G33">
    <cfRule type="colorScale" priority="4">
      <colorScale>
        <cfvo type="min"/>
        <cfvo type="percentile" val="50"/>
        <cfvo type="max"/>
        <color rgb="FFF8696B"/>
        <color rgb="FFFFEB84"/>
        <color rgb="FF63BE7B"/>
      </colorScale>
    </cfRule>
  </conditionalFormatting>
  <conditionalFormatting sqref="C47:I47">
    <cfRule type="colorScale" priority="6">
      <colorScale>
        <cfvo type="min"/>
        <cfvo type="percentile" val="50"/>
        <cfvo type="max"/>
        <color rgb="FFF8696B"/>
        <color rgb="FFFFEB84"/>
        <color rgb="FF63BE7B"/>
      </colorScale>
    </cfRule>
  </conditionalFormatting>
  <conditionalFormatting sqref="C52:I56">
    <cfRule type="colorScale" priority="7">
      <colorScale>
        <cfvo type="min"/>
        <cfvo type="percentile" val="50"/>
        <cfvo type="max"/>
        <color rgb="FFF8696B"/>
        <color rgb="FFFFEB84"/>
        <color rgb="FF63BE7B"/>
      </colorScale>
    </cfRule>
  </conditionalFormatting>
  <conditionalFormatting sqref="C10:J14">
    <cfRule type="colorScale" priority="2">
      <colorScale>
        <cfvo type="min"/>
        <cfvo type="percentile" val="50"/>
        <cfvo type="max"/>
        <color rgb="FFF8696B"/>
        <color rgb="FFFFEB84"/>
        <color rgb="FF63BE7B"/>
      </colorScale>
    </cfRule>
  </conditionalFormatting>
  <conditionalFormatting sqref="C18:J22">
    <cfRule type="colorScale" priority="3">
      <colorScale>
        <cfvo type="min"/>
        <cfvo type="percentile" val="50"/>
        <cfvo type="max"/>
        <color rgb="FFF8696B"/>
        <color rgb="FFFFEB84"/>
        <color rgb="FF63BE7B"/>
      </colorScale>
    </cfRule>
  </conditionalFormatting>
  <conditionalFormatting sqref="C38:J42">
    <cfRule type="colorScale" priority="5">
      <colorScale>
        <cfvo type="min"/>
        <cfvo type="percentile" val="50"/>
        <cfvo type="max"/>
        <color rgb="FFF8696B"/>
        <color rgb="FFFFEB84"/>
        <color rgb="FF63BE7B"/>
      </colorScale>
    </cfRule>
  </conditionalFormatting>
  <hyperlinks>
    <hyperlink ref="L1" r:id="rId1" location="'תמצית%20עסקה'!A1" xr:uid="{00000000-0004-0000-0600-000000000000}"/>
  </hyperlink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גליונות עבודה</vt:lpstr>
      </vt:variant>
      <vt:variant>
        <vt:i4>7</vt:i4>
      </vt:variant>
    </vt:vector>
  </HeadingPairs>
  <TitlesOfParts>
    <vt:vector size="7" baseType="lpstr">
      <vt:lpstr>תמצית עסקה</vt:lpstr>
      <vt:lpstr>הנחות עסקה</vt:lpstr>
      <vt:lpstr>מודל כלכלי</vt:lpstr>
      <vt:lpstr>חישובים</vt:lpstr>
      <vt:lpstr>היוון</vt:lpstr>
      <vt:lpstr>תזרים ו-IRR</vt:lpstr>
      <vt:lpstr>רגישות ותרחישים</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שלו לביא</cp:lastModifiedBy>
  <cp:revision>1</cp:revision>
  <dcterms:created xsi:type="dcterms:W3CDTF">2026-08-15T11:49:09Z</dcterms:created>
  <dcterms:modified xsi:type="dcterms:W3CDTF">2026-08-20T13:07:11Z</dcterms:modified>
  <dc:language>en-US</dc:language>
</cp:coreProperties>
</file>